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terry\Dropbox\Mongoose Traveller\Billion Credit Bounty\Robot Files\"/>
    </mc:Choice>
  </mc:AlternateContent>
  <xr:revisionPtr revIDLastSave="0" documentId="13_ncr:1_{6B1524EA-D9F1-402B-920F-921BB9C86624}" xr6:coauthVersionLast="47" xr6:coauthVersionMax="47" xr10:uidLastSave="{00000000-0000-0000-0000-000000000000}"/>
  <bookViews>
    <workbookView xWindow="-98" yWindow="-98" windowWidth="16395" windowHeight="28276" tabRatio="899" firstSheet="7" activeTab="9" xr2:uid="{A9A0658E-614C-4F58-ACF1-A03289B972D7}"/>
  </bookViews>
  <sheets>
    <sheet name="Instructions" sheetId="127" r:id="rId1"/>
    <sheet name="Summary" sheetId="71" r:id="rId2"/>
    <sheet name="Blank" sheetId="6" r:id="rId3"/>
    <sheet name="Micro" sheetId="67" r:id="rId4"/>
    <sheet name="Chassis" sheetId="3" r:id="rId5"/>
    <sheet name="Brains" sheetId="5" r:id="rId6"/>
    <sheet name="Options" sheetId="1" r:id="rId7"/>
    <sheet name="Packages" sheetId="2" r:id="rId8"/>
    <sheet name="Notes" sheetId="18" r:id="rId9"/>
    <sheet name="Basic AutoBerth" sheetId="148" r:id="rId10"/>
    <sheet name="Improved AutoBerth" sheetId="171" r:id="rId11"/>
    <sheet name="Enhanced AutoBerth" sheetId="172" r:id="rId12"/>
    <sheet name="Advanced AutoBerth" sheetId="175" r:id="rId13"/>
    <sheet name="Superior AutoBerth" sheetId="176" r:id="rId14"/>
    <sheet name="Basic AutoBerth (LD)" sheetId="201" r:id="rId15"/>
    <sheet name="Improved AutoBerth (LD)" sheetId="202" r:id="rId16"/>
    <sheet name="Enhanced AutoBerth (LD)" sheetId="203" r:id="rId17"/>
    <sheet name="Advanced AutoBerth (LD)" sheetId="204" r:id="rId18"/>
    <sheet name="Superior AutoBerth (LD)" sheetId="205" r:id="rId19"/>
    <sheet name="Basic AutoBerth Cluster" sheetId="181" r:id="rId20"/>
    <sheet name="Improved AutoBerth Cluster" sheetId="183" r:id="rId21"/>
    <sheet name="Enhanced AutoBerth Cluster" sheetId="184" r:id="rId22"/>
    <sheet name="Advanced AutoBerth Cluster" sheetId="185" r:id="rId23"/>
    <sheet name="Superior Auto Berth Cluster" sheetId="186" r:id="rId24"/>
    <sheet name="Basic AutoBerth Cluster (c)" sheetId="177" r:id="rId25"/>
    <sheet name="Improved AutoBerth Cluster (c )" sheetId="189" r:id="rId26"/>
    <sheet name="Enhanced AutoBerth Cluster (c)" sheetId="190" r:id="rId27"/>
    <sheet name="Advanced AutoBerth Cluster (c)" sheetId="191" r:id="rId28"/>
    <sheet name="Superior AutoBerth Cluster (c)" sheetId="193" r:id="rId29"/>
    <sheet name="Basic Emergency AutoBerth" sheetId="188" r:id="rId30"/>
    <sheet name="Improved Emergency AutoBerth" sheetId="187" r:id="rId31"/>
    <sheet name="Enhanced Emergency AutoBerth" sheetId="179" r:id="rId32"/>
    <sheet name="Advanced Emergency AutoBerth" sheetId="178" r:id="rId33"/>
    <sheet name="Superior Emergency AutoBerth" sheetId="194" r:id="rId34"/>
    <sheet name="Basic Emergency AutoBerth (L)" sheetId="196" r:id="rId35"/>
    <sheet name="Improved Emergency AutoBert (L)" sheetId="197" r:id="rId36"/>
    <sheet name="Enhanced Emergency AutoBert (L)" sheetId="199" r:id="rId37"/>
    <sheet name="Advanced Emergency AutoBert (L)" sheetId="198" r:id="rId38"/>
    <sheet name="Superior Emergency AutoBert (L)" sheetId="200"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0" i="205" l="1"/>
  <c r="O90" i="205"/>
  <c r="K90" i="205"/>
  <c r="I90" i="205"/>
  <c r="G90" i="205"/>
  <c r="P89" i="205"/>
  <c r="O89" i="205"/>
  <c r="K89" i="205"/>
  <c r="I89" i="205"/>
  <c r="G89" i="205"/>
  <c r="P88" i="205"/>
  <c r="O88" i="205"/>
  <c r="K88" i="205"/>
  <c r="I88" i="205"/>
  <c r="G88" i="205"/>
  <c r="P87" i="205"/>
  <c r="O87" i="205"/>
  <c r="K87" i="205"/>
  <c r="I87" i="205"/>
  <c r="G87" i="205"/>
  <c r="P86" i="205"/>
  <c r="O86" i="205"/>
  <c r="K86" i="205"/>
  <c r="I86" i="205"/>
  <c r="G86" i="205"/>
  <c r="P85" i="205"/>
  <c r="O85" i="205"/>
  <c r="K85" i="205"/>
  <c r="I85" i="205"/>
  <c r="G85" i="205"/>
  <c r="P84" i="205"/>
  <c r="O84" i="205"/>
  <c r="K84" i="205"/>
  <c r="I84" i="205"/>
  <c r="G84" i="205"/>
  <c r="P83" i="205"/>
  <c r="O83" i="205"/>
  <c r="K83" i="205"/>
  <c r="I83" i="205"/>
  <c r="G83" i="205"/>
  <c r="P82" i="205"/>
  <c r="O82" i="205"/>
  <c r="K82" i="205"/>
  <c r="I82" i="205"/>
  <c r="G82" i="205"/>
  <c r="P81" i="205"/>
  <c r="O81" i="205"/>
  <c r="K81" i="205"/>
  <c r="I81" i="205"/>
  <c r="G81" i="205"/>
  <c r="P80" i="205"/>
  <c r="O80" i="205"/>
  <c r="K80" i="205"/>
  <c r="I80" i="205"/>
  <c r="G80" i="205"/>
  <c r="P79" i="205"/>
  <c r="O79" i="205"/>
  <c r="K79" i="205"/>
  <c r="I79" i="205"/>
  <c r="G79" i="205"/>
  <c r="P78" i="205"/>
  <c r="O78" i="205"/>
  <c r="K78" i="205"/>
  <c r="I78" i="205"/>
  <c r="G78" i="205"/>
  <c r="P77" i="205"/>
  <c r="O77" i="205"/>
  <c r="K77" i="205"/>
  <c r="I77" i="205"/>
  <c r="G77" i="205"/>
  <c r="P76" i="205"/>
  <c r="O76" i="205"/>
  <c r="K76" i="205"/>
  <c r="I76" i="205"/>
  <c r="G76" i="205"/>
  <c r="P75" i="205"/>
  <c r="O75" i="205"/>
  <c r="K75" i="205"/>
  <c r="I75" i="205"/>
  <c r="G75" i="205"/>
  <c r="P74" i="205"/>
  <c r="O74" i="205"/>
  <c r="K74" i="205"/>
  <c r="I74" i="205"/>
  <c r="G74" i="205"/>
  <c r="P73" i="205"/>
  <c r="K73" i="205"/>
  <c r="I73" i="205"/>
  <c r="G73" i="205"/>
  <c r="P71" i="205"/>
  <c r="O71" i="205"/>
  <c r="K71" i="205"/>
  <c r="G71" i="205"/>
  <c r="P70" i="205"/>
  <c r="O70" i="205"/>
  <c r="N70" i="205"/>
  <c r="K70" i="205"/>
  <c r="G70" i="205"/>
  <c r="P69" i="205"/>
  <c r="O69" i="205"/>
  <c r="N69" i="205"/>
  <c r="K69" i="205"/>
  <c r="G69" i="205"/>
  <c r="N67" i="205"/>
  <c r="H66" i="205"/>
  <c r="I66" i="205" s="1"/>
  <c r="O73" i="205" s="1"/>
  <c r="F66" i="205" a="1"/>
  <c r="F66" i="205" s="1"/>
  <c r="P65" i="205"/>
  <c r="L65" i="205"/>
  <c r="L66" i="205" s="1"/>
  <c r="L67" i="205" s="1"/>
  <c r="K65" i="205"/>
  <c r="E65" i="205"/>
  <c r="O64" i="205"/>
  <c r="M64" i="205"/>
  <c r="L64" i="205"/>
  <c r="P64" i="205" s="1"/>
  <c r="K64" i="205"/>
  <c r="J64" i="205"/>
  <c r="J67" i="205" s="1"/>
  <c r="I64" i="205"/>
  <c r="H64" i="205"/>
  <c r="E64" i="205"/>
  <c r="E57" i="205"/>
  <c r="P57" i="205" s="1"/>
  <c r="O56" i="205"/>
  <c r="N56" i="205"/>
  <c r="L56" i="205"/>
  <c r="K56" i="205"/>
  <c r="H56" i="205"/>
  <c r="F56" i="205"/>
  <c r="P56" i="205" s="1"/>
  <c r="E56" i="205"/>
  <c r="O55" i="205"/>
  <c r="N55" i="205"/>
  <c r="L55" i="205"/>
  <c r="K55" i="205"/>
  <c r="H55" i="205"/>
  <c r="F55" i="205"/>
  <c r="P55" i="205" s="1"/>
  <c r="E55" i="205"/>
  <c r="O54" i="205"/>
  <c r="N54" i="205"/>
  <c r="L54" i="205"/>
  <c r="K54" i="205"/>
  <c r="H54" i="205"/>
  <c r="F54" i="205"/>
  <c r="P54" i="205" s="1"/>
  <c r="E54" i="205"/>
  <c r="O53" i="205"/>
  <c r="N53" i="205"/>
  <c r="L53" i="205"/>
  <c r="K53" i="205"/>
  <c r="H53" i="205"/>
  <c r="F53" i="205"/>
  <c r="P53" i="205" s="1"/>
  <c r="E53" i="205"/>
  <c r="O52" i="205"/>
  <c r="N52" i="205"/>
  <c r="L52" i="205"/>
  <c r="K52" i="205"/>
  <c r="H52" i="205"/>
  <c r="F52" i="205"/>
  <c r="P52" i="205" s="1"/>
  <c r="E52" i="205"/>
  <c r="O51" i="205"/>
  <c r="N51" i="205"/>
  <c r="L51" i="205"/>
  <c r="K51" i="205"/>
  <c r="H51" i="205"/>
  <c r="F51" i="205"/>
  <c r="P51" i="205" s="1"/>
  <c r="E51" i="205"/>
  <c r="O50" i="205"/>
  <c r="N50" i="205"/>
  <c r="L50" i="205"/>
  <c r="K50" i="205"/>
  <c r="H50" i="205"/>
  <c r="F50" i="205"/>
  <c r="P50" i="205" s="1"/>
  <c r="E50" i="205"/>
  <c r="O49" i="205"/>
  <c r="N49" i="205"/>
  <c r="L49" i="205"/>
  <c r="K49" i="205"/>
  <c r="H49" i="205"/>
  <c r="F49" i="205"/>
  <c r="P49" i="205" s="1"/>
  <c r="E49" i="205"/>
  <c r="O48" i="205"/>
  <c r="N48" i="205"/>
  <c r="L48" i="205"/>
  <c r="K48" i="205"/>
  <c r="H48" i="205"/>
  <c r="F48" i="205"/>
  <c r="P48" i="205" s="1"/>
  <c r="E48" i="205"/>
  <c r="O47" i="205"/>
  <c r="N47" i="205"/>
  <c r="L47" i="205"/>
  <c r="K47" i="205"/>
  <c r="H47" i="205"/>
  <c r="F47" i="205"/>
  <c r="P47" i="205" s="1"/>
  <c r="E47" i="205"/>
  <c r="O46" i="205"/>
  <c r="N46" i="205"/>
  <c r="L46" i="205"/>
  <c r="K46" i="205"/>
  <c r="H46" i="205"/>
  <c r="F46" i="205"/>
  <c r="P46" i="205" s="1"/>
  <c r="E46" i="205"/>
  <c r="O45" i="205"/>
  <c r="N45" i="205"/>
  <c r="L45" i="205"/>
  <c r="K45" i="205"/>
  <c r="H45" i="205"/>
  <c r="F45" i="205"/>
  <c r="P45" i="205" s="1"/>
  <c r="E45" i="205"/>
  <c r="O44" i="205"/>
  <c r="N44" i="205"/>
  <c r="L44" i="205"/>
  <c r="K44" i="205"/>
  <c r="H44" i="205"/>
  <c r="F44" i="205"/>
  <c r="P44" i="205" s="1"/>
  <c r="E44" i="205"/>
  <c r="O43" i="205"/>
  <c r="N43" i="205"/>
  <c r="K43" i="205"/>
  <c r="H43" i="205"/>
  <c r="F43" i="205"/>
  <c r="P43" i="205" s="1"/>
  <c r="E43" i="205"/>
  <c r="O42" i="205"/>
  <c r="N42" i="205"/>
  <c r="K42" i="205"/>
  <c r="H42" i="205"/>
  <c r="F42" i="205"/>
  <c r="P42" i="205" s="1"/>
  <c r="E42" i="205"/>
  <c r="O41" i="205"/>
  <c r="N41" i="205"/>
  <c r="L41" i="205"/>
  <c r="K41" i="205"/>
  <c r="H41" i="205"/>
  <c r="F41" i="205"/>
  <c r="P41" i="205" s="1"/>
  <c r="E41" i="205"/>
  <c r="O40" i="205"/>
  <c r="N40" i="205"/>
  <c r="L40" i="205"/>
  <c r="K40" i="205"/>
  <c r="H40" i="205"/>
  <c r="F40" i="205"/>
  <c r="P40" i="205" s="1"/>
  <c r="E40" i="205"/>
  <c r="O39" i="205"/>
  <c r="N39" i="205"/>
  <c r="L39" i="205"/>
  <c r="K39" i="205"/>
  <c r="H39" i="205"/>
  <c r="F39" i="205"/>
  <c r="P39" i="205" s="1"/>
  <c r="E39" i="205"/>
  <c r="O38" i="205"/>
  <c r="N38" i="205"/>
  <c r="L38" i="205"/>
  <c r="K38" i="205"/>
  <c r="H38" i="205"/>
  <c r="F38" i="205"/>
  <c r="P38" i="205" s="1"/>
  <c r="E38" i="205"/>
  <c r="O37" i="205"/>
  <c r="N37" i="205"/>
  <c r="L37" i="205"/>
  <c r="K37" i="205"/>
  <c r="H37" i="205"/>
  <c r="F37" i="205"/>
  <c r="P37" i="205" s="1"/>
  <c r="E37" i="205"/>
  <c r="O36" i="205"/>
  <c r="N36" i="205"/>
  <c r="L36" i="205"/>
  <c r="K36" i="205"/>
  <c r="H36" i="205"/>
  <c r="F36" i="205"/>
  <c r="P36" i="205" s="1"/>
  <c r="E36" i="205"/>
  <c r="O34" i="205"/>
  <c r="N34" i="205"/>
  <c r="K34" i="205"/>
  <c r="H34" i="205"/>
  <c r="F34" i="205"/>
  <c r="P34" i="205" s="1"/>
  <c r="E34" i="205"/>
  <c r="O33" i="205"/>
  <c r="N33" i="205"/>
  <c r="K33" i="205"/>
  <c r="H33" i="205"/>
  <c r="F33" i="205"/>
  <c r="P33" i="205" s="1"/>
  <c r="E33" i="205"/>
  <c r="O32" i="205"/>
  <c r="N32" i="205"/>
  <c r="K32" i="205"/>
  <c r="H32" i="205"/>
  <c r="F32" i="205"/>
  <c r="P32" i="205" s="1"/>
  <c r="E32" i="205"/>
  <c r="O31" i="205"/>
  <c r="N31" i="205"/>
  <c r="K31" i="205"/>
  <c r="H31" i="205"/>
  <c r="F31" i="205"/>
  <c r="P31" i="205" s="1"/>
  <c r="E31" i="205"/>
  <c r="O30" i="205"/>
  <c r="N30" i="205"/>
  <c r="K30" i="205"/>
  <c r="H30" i="205"/>
  <c r="F30" i="205"/>
  <c r="P30" i="205" s="1"/>
  <c r="E30" i="205"/>
  <c r="P28" i="205"/>
  <c r="M28" i="205"/>
  <c r="L28" i="205"/>
  <c r="J28" i="205"/>
  <c r="D28" i="205"/>
  <c r="C28" i="205"/>
  <c r="F28" i="205" s="1"/>
  <c r="A28" i="205"/>
  <c r="P27" i="205"/>
  <c r="J27" i="205"/>
  <c r="D27" i="205"/>
  <c r="L27" i="205" s="1"/>
  <c r="M27" i="205" s="1"/>
  <c r="C27" i="205"/>
  <c r="H27" i="205" s="1"/>
  <c r="I27" i="205" s="1"/>
  <c r="O27" i="205" s="1"/>
  <c r="A27" i="205"/>
  <c r="P26" i="205"/>
  <c r="L26" i="205"/>
  <c r="M26" i="205" s="1"/>
  <c r="J26" i="205"/>
  <c r="E26" i="205" a="1"/>
  <c r="E26" i="205" s="1"/>
  <c r="D26" i="205"/>
  <c r="C26" i="205"/>
  <c r="H26" i="205" s="1"/>
  <c r="I26" i="205" s="1"/>
  <c r="O26" i="205" s="1"/>
  <c r="P25" i="205"/>
  <c r="J25" i="205"/>
  <c r="E25" i="205" a="1"/>
  <c r="E25" i="205" s="1"/>
  <c r="D25" i="205"/>
  <c r="L25" i="205" s="1"/>
  <c r="M25" i="205" s="1"/>
  <c r="C25" i="205"/>
  <c r="H25" i="205" s="1"/>
  <c r="I25" i="205" s="1"/>
  <c r="O25" i="205" s="1"/>
  <c r="P24" i="205"/>
  <c r="L24" i="205"/>
  <c r="M24" i="205" s="1"/>
  <c r="J24" i="205"/>
  <c r="E24" i="205" a="1"/>
  <c r="E24" i="205" s="1"/>
  <c r="D24" i="205"/>
  <c r="C24" i="205"/>
  <c r="H24" i="205" s="1"/>
  <c r="I24" i="205" s="1"/>
  <c r="O24" i="205" s="1"/>
  <c r="P23" i="205"/>
  <c r="J23" i="205"/>
  <c r="E23" i="205" a="1"/>
  <c r="E23" i="205" s="1"/>
  <c r="D23" i="205"/>
  <c r="L23" i="205" s="1"/>
  <c r="M23" i="205" s="1"/>
  <c r="C23" i="205"/>
  <c r="H23" i="205" s="1"/>
  <c r="I23" i="205" s="1"/>
  <c r="O23" i="205" s="1"/>
  <c r="P22" i="205"/>
  <c r="L22" i="205"/>
  <c r="M22" i="205" s="1"/>
  <c r="J22" i="205"/>
  <c r="E22" i="205" a="1"/>
  <c r="E22" i="205" s="1"/>
  <c r="D22" i="205"/>
  <c r="C22" i="205"/>
  <c r="H22" i="205" s="1"/>
  <c r="I22" i="205" s="1"/>
  <c r="O22" i="205" s="1"/>
  <c r="P21" i="205"/>
  <c r="J21" i="205"/>
  <c r="E21" i="205" a="1"/>
  <c r="E21" i="205" s="1"/>
  <c r="D21" i="205"/>
  <c r="L21" i="205" s="1"/>
  <c r="M21" i="205" s="1"/>
  <c r="C21" i="205"/>
  <c r="H21" i="205" s="1"/>
  <c r="I21" i="205" s="1"/>
  <c r="O21" i="205" s="1"/>
  <c r="P20" i="205"/>
  <c r="L20" i="205"/>
  <c r="M20" i="205" s="1"/>
  <c r="J20" i="205"/>
  <c r="D20" i="205"/>
  <c r="C20" i="205"/>
  <c r="H20" i="205" s="1"/>
  <c r="I20" i="205" s="1"/>
  <c r="O20" i="205" s="1"/>
  <c r="P19" i="205"/>
  <c r="J19" i="205"/>
  <c r="E19" i="205" a="1"/>
  <c r="E19" i="205" s="1"/>
  <c r="D19" i="205"/>
  <c r="L19" i="205" s="1"/>
  <c r="M19" i="205" s="1"/>
  <c r="C19" i="205"/>
  <c r="H19" i="205" s="1"/>
  <c r="N17" i="205"/>
  <c r="E17" i="205"/>
  <c r="P17" i="205" s="1"/>
  <c r="P16" i="205"/>
  <c r="N16" i="205"/>
  <c r="E16" i="205"/>
  <c r="P15" i="205"/>
  <c r="N15" i="205"/>
  <c r="J15" i="205"/>
  <c r="J16" i="205" s="1"/>
  <c r="E15" i="205"/>
  <c r="P14" i="205"/>
  <c r="J14" i="205"/>
  <c r="S13" i="205"/>
  <c r="P13" i="205"/>
  <c r="O13" i="205"/>
  <c r="J13" i="205"/>
  <c r="P11" i="205"/>
  <c r="J11" i="205"/>
  <c r="M11" i="205" s="1"/>
  <c r="S6" i="205" s="1"/>
  <c r="P10" i="205"/>
  <c r="J10" i="205"/>
  <c r="E10" i="205"/>
  <c r="O9" i="205"/>
  <c r="J9" i="205"/>
  <c r="K14" i="205" s="1"/>
  <c r="S8" i="205"/>
  <c r="P8" i="205"/>
  <c r="J8" i="205"/>
  <c r="L7" i="205"/>
  <c r="F7" i="205"/>
  <c r="X6" i="205"/>
  <c r="O92" i="205" s="1"/>
  <c r="V6" i="205"/>
  <c r="U6" i="205"/>
  <c r="T6" i="205"/>
  <c r="R6" i="205"/>
  <c r="P5" i="205"/>
  <c r="N5" i="205"/>
  <c r="M5" i="205"/>
  <c r="K5" i="205"/>
  <c r="J5" i="205"/>
  <c r="N4" i="205"/>
  <c r="M4" i="205"/>
  <c r="J4" i="205"/>
  <c r="F4" i="205"/>
  <c r="E4" i="205"/>
  <c r="E9" i="205" s="1"/>
  <c r="P9" i="205" s="1"/>
  <c r="P90" i="204"/>
  <c r="O90" i="204"/>
  <c r="K90" i="204"/>
  <c r="I90" i="204"/>
  <c r="G90" i="204"/>
  <c r="P89" i="204"/>
  <c r="O89" i="204"/>
  <c r="K89" i="204"/>
  <c r="I89" i="204"/>
  <c r="G89" i="204"/>
  <c r="P88" i="204"/>
  <c r="O88" i="204"/>
  <c r="K88" i="204"/>
  <c r="I88" i="204"/>
  <c r="G88" i="204"/>
  <c r="P87" i="204"/>
  <c r="O87" i="204"/>
  <c r="K87" i="204"/>
  <c r="I87" i="204"/>
  <c r="G87" i="204"/>
  <c r="P86" i="204"/>
  <c r="O86" i="204"/>
  <c r="K86" i="204"/>
  <c r="I86" i="204"/>
  <c r="G86" i="204"/>
  <c r="P85" i="204"/>
  <c r="O85" i="204"/>
  <c r="K85" i="204"/>
  <c r="I85" i="204"/>
  <c r="G85" i="204"/>
  <c r="P84" i="204"/>
  <c r="O84" i="204"/>
  <c r="K84" i="204"/>
  <c r="I84" i="204"/>
  <c r="G84" i="204"/>
  <c r="P83" i="204"/>
  <c r="O83" i="204"/>
  <c r="K83" i="204"/>
  <c r="I83" i="204"/>
  <c r="G83" i="204"/>
  <c r="P82" i="204"/>
  <c r="O82" i="204"/>
  <c r="K82" i="204"/>
  <c r="I82" i="204"/>
  <c r="G82" i="204"/>
  <c r="P81" i="204"/>
  <c r="O81" i="204"/>
  <c r="K81" i="204"/>
  <c r="I81" i="204"/>
  <c r="G81" i="204"/>
  <c r="P80" i="204"/>
  <c r="O80" i="204"/>
  <c r="K80" i="204"/>
  <c r="I80" i="204"/>
  <c r="G80" i="204"/>
  <c r="P79" i="204"/>
  <c r="O79" i="204"/>
  <c r="K79" i="204"/>
  <c r="I79" i="204"/>
  <c r="G79" i="204"/>
  <c r="P78" i="204"/>
  <c r="O78" i="204"/>
  <c r="K78" i="204"/>
  <c r="I78" i="204"/>
  <c r="G78" i="204"/>
  <c r="P77" i="204"/>
  <c r="O77" i="204"/>
  <c r="K77" i="204"/>
  <c r="I77" i="204"/>
  <c r="G77" i="204"/>
  <c r="P76" i="204"/>
  <c r="O76" i="204"/>
  <c r="K76" i="204"/>
  <c r="I76" i="204"/>
  <c r="G76" i="204"/>
  <c r="P75" i="204"/>
  <c r="O75" i="204"/>
  <c r="K75" i="204"/>
  <c r="I75" i="204"/>
  <c r="G75" i="204"/>
  <c r="P74" i="204"/>
  <c r="O74" i="204"/>
  <c r="K74" i="204"/>
  <c r="I74" i="204"/>
  <c r="G74" i="204"/>
  <c r="P73" i="204"/>
  <c r="K73" i="204"/>
  <c r="I73" i="204"/>
  <c r="G73" i="204"/>
  <c r="J67" i="204" s="1"/>
  <c r="P71" i="204"/>
  <c r="O71" i="204"/>
  <c r="K71" i="204"/>
  <c r="G71" i="204"/>
  <c r="P70" i="204"/>
  <c r="O70" i="204"/>
  <c r="N70" i="204"/>
  <c r="K70" i="204"/>
  <c r="G70" i="204"/>
  <c r="P69" i="204"/>
  <c r="O69" i="204"/>
  <c r="N69" i="204"/>
  <c r="K69" i="204"/>
  <c r="G69" i="204"/>
  <c r="N67" i="204"/>
  <c r="H66" i="204"/>
  <c r="S12" i="204" s="1"/>
  <c r="F66" i="204" a="1"/>
  <c r="F66" i="204" s="1"/>
  <c r="P65" i="204"/>
  <c r="L65" i="204"/>
  <c r="L66" i="204" s="1"/>
  <c r="L67" i="204" s="1"/>
  <c r="K65" i="204"/>
  <c r="E65" i="204"/>
  <c r="O64" i="204"/>
  <c r="M64" i="204"/>
  <c r="L64" i="204"/>
  <c r="K64" i="204"/>
  <c r="P64" i="204" s="1"/>
  <c r="J64" i="204"/>
  <c r="I64" i="204"/>
  <c r="H64" i="204"/>
  <c r="P66" i="204" s="1" a="1"/>
  <c r="P66" i="204" s="1"/>
  <c r="E64" i="204"/>
  <c r="E57" i="204"/>
  <c r="P57" i="204" s="1"/>
  <c r="O56" i="204"/>
  <c r="N56" i="204"/>
  <c r="L56" i="204"/>
  <c r="K56" i="204"/>
  <c r="H56" i="204"/>
  <c r="F56" i="204"/>
  <c r="P56" i="204" s="1"/>
  <c r="E56" i="204"/>
  <c r="O55" i="204"/>
  <c r="N55" i="204"/>
  <c r="L55" i="204"/>
  <c r="K55" i="204"/>
  <c r="H55" i="204"/>
  <c r="F55" i="204"/>
  <c r="P55" i="204" s="1"/>
  <c r="E55" i="204"/>
  <c r="O54" i="204"/>
  <c r="N54" i="204"/>
  <c r="L54" i="204"/>
  <c r="K54" i="204"/>
  <c r="H54" i="204"/>
  <c r="F54" i="204"/>
  <c r="P54" i="204" s="1"/>
  <c r="E54" i="204"/>
  <c r="O53" i="204"/>
  <c r="N53" i="204"/>
  <c r="L53" i="204"/>
  <c r="K53" i="204"/>
  <c r="H53" i="204"/>
  <c r="F53" i="204"/>
  <c r="P53" i="204" s="1"/>
  <c r="E53" i="204"/>
  <c r="O52" i="204"/>
  <c r="N52" i="204"/>
  <c r="L52" i="204"/>
  <c r="K52" i="204"/>
  <c r="H52" i="204"/>
  <c r="F52" i="204"/>
  <c r="P52" i="204" s="1"/>
  <c r="E52" i="204"/>
  <c r="O51" i="204"/>
  <c r="N51" i="204"/>
  <c r="L51" i="204"/>
  <c r="K51" i="204"/>
  <c r="H51" i="204"/>
  <c r="F51" i="204"/>
  <c r="P51" i="204" s="1"/>
  <c r="E51" i="204"/>
  <c r="O50" i="204"/>
  <c r="N50" i="204"/>
  <c r="L50" i="204"/>
  <c r="K50" i="204"/>
  <c r="H50" i="204"/>
  <c r="F50" i="204"/>
  <c r="P50" i="204" s="1"/>
  <c r="E50" i="204"/>
  <c r="O49" i="204"/>
  <c r="N49" i="204"/>
  <c r="L49" i="204"/>
  <c r="K49" i="204"/>
  <c r="H49" i="204"/>
  <c r="F49" i="204"/>
  <c r="P49" i="204" s="1"/>
  <c r="E49" i="204"/>
  <c r="O48" i="204"/>
  <c r="N48" i="204"/>
  <c r="L48" i="204"/>
  <c r="K48" i="204"/>
  <c r="H48" i="204"/>
  <c r="F48" i="204"/>
  <c r="P48" i="204" s="1"/>
  <c r="E48" i="204"/>
  <c r="O47" i="204"/>
  <c r="N47" i="204"/>
  <c r="L47" i="204"/>
  <c r="K47" i="204"/>
  <c r="H47" i="204"/>
  <c r="F47" i="204"/>
  <c r="P47" i="204" s="1"/>
  <c r="E47" i="204"/>
  <c r="O46" i="204"/>
  <c r="N46" i="204"/>
  <c r="L46" i="204"/>
  <c r="K46" i="204"/>
  <c r="H46" i="204"/>
  <c r="F46" i="204"/>
  <c r="P46" i="204" s="1"/>
  <c r="E46" i="204"/>
  <c r="O45" i="204"/>
  <c r="N45" i="204"/>
  <c r="L45" i="204"/>
  <c r="K45" i="204"/>
  <c r="H45" i="204"/>
  <c r="F45" i="204"/>
  <c r="P45" i="204" s="1"/>
  <c r="E45" i="204"/>
  <c r="O44" i="204"/>
  <c r="N44" i="204"/>
  <c r="L44" i="204"/>
  <c r="K44" i="204"/>
  <c r="H44" i="204"/>
  <c r="F44" i="204"/>
  <c r="P44" i="204" s="1"/>
  <c r="E44" i="204"/>
  <c r="O43" i="204"/>
  <c r="N43" i="204"/>
  <c r="L43" i="204"/>
  <c r="K43" i="204"/>
  <c r="H43" i="204"/>
  <c r="F43" i="204"/>
  <c r="P43" i="204" s="1"/>
  <c r="E43" i="204"/>
  <c r="O42" i="204"/>
  <c r="N42" i="204"/>
  <c r="L42" i="204"/>
  <c r="K42" i="204"/>
  <c r="H42" i="204"/>
  <c r="F42" i="204"/>
  <c r="P42" i="204" s="1"/>
  <c r="E42" i="204"/>
  <c r="O41" i="204"/>
  <c r="N41" i="204"/>
  <c r="L41" i="204"/>
  <c r="K41" i="204"/>
  <c r="H41" i="204"/>
  <c r="F41" i="204"/>
  <c r="P41" i="204" s="1"/>
  <c r="E41" i="204"/>
  <c r="O40" i="204"/>
  <c r="N40" i="204"/>
  <c r="L40" i="204"/>
  <c r="K40" i="204"/>
  <c r="H40" i="204"/>
  <c r="F40" i="204"/>
  <c r="P40" i="204" s="1"/>
  <c r="E40" i="204"/>
  <c r="O39" i="204"/>
  <c r="N39" i="204"/>
  <c r="L39" i="204"/>
  <c r="K39" i="204"/>
  <c r="H39" i="204"/>
  <c r="F39" i="204"/>
  <c r="P39" i="204" s="1"/>
  <c r="E39" i="204"/>
  <c r="O38" i="204"/>
  <c r="N38" i="204"/>
  <c r="L38" i="204"/>
  <c r="K38" i="204"/>
  <c r="H38" i="204"/>
  <c r="F38" i="204"/>
  <c r="P38" i="204" s="1"/>
  <c r="E38" i="204"/>
  <c r="O37" i="204"/>
  <c r="N37" i="204"/>
  <c r="L37" i="204"/>
  <c r="K37" i="204"/>
  <c r="H37" i="204"/>
  <c r="F37" i="204"/>
  <c r="P37" i="204" s="1"/>
  <c r="E37" i="204"/>
  <c r="O36" i="204"/>
  <c r="N36" i="204"/>
  <c r="L36" i="204"/>
  <c r="K36" i="204"/>
  <c r="H36" i="204"/>
  <c r="F36" i="204"/>
  <c r="P36" i="204" s="1"/>
  <c r="E36" i="204"/>
  <c r="O34" i="204"/>
  <c r="N34" i="204"/>
  <c r="K34" i="204"/>
  <c r="H34" i="204"/>
  <c r="F34" i="204"/>
  <c r="P34" i="204" s="1"/>
  <c r="E34" i="204"/>
  <c r="O33" i="204"/>
  <c r="N33" i="204"/>
  <c r="K33" i="204"/>
  <c r="H33" i="204"/>
  <c r="F33" i="204"/>
  <c r="P33" i="204" s="1"/>
  <c r="E33" i="204"/>
  <c r="O32" i="204"/>
  <c r="N32" i="204"/>
  <c r="K32" i="204"/>
  <c r="H32" i="204"/>
  <c r="F32" i="204"/>
  <c r="P32" i="204" s="1"/>
  <c r="E32" i="204"/>
  <c r="O31" i="204"/>
  <c r="N31" i="204"/>
  <c r="K31" i="204"/>
  <c r="H31" i="204"/>
  <c r="F31" i="204"/>
  <c r="P31" i="204" s="1"/>
  <c r="E31" i="204"/>
  <c r="O30" i="204"/>
  <c r="N30" i="204"/>
  <c r="K30" i="204"/>
  <c r="H30" i="204"/>
  <c r="F30" i="204"/>
  <c r="P30" i="204" s="1"/>
  <c r="E30" i="204"/>
  <c r="P28" i="204"/>
  <c r="J28" i="204"/>
  <c r="D28" i="204"/>
  <c r="L28" i="204" s="1"/>
  <c r="M28" i="204" s="1"/>
  <c r="C28" i="204"/>
  <c r="H28" i="204" s="1"/>
  <c r="I28" i="204" s="1"/>
  <c r="O28" i="204" s="1"/>
  <c r="A28" i="204"/>
  <c r="P27" i="204"/>
  <c r="J27" i="204"/>
  <c r="D27" i="204"/>
  <c r="L27" i="204" s="1"/>
  <c r="M27" i="204" s="1"/>
  <c r="C27" i="204"/>
  <c r="H27" i="204" s="1"/>
  <c r="I27" i="204" s="1"/>
  <c r="O27" i="204" s="1"/>
  <c r="A27" i="204"/>
  <c r="P26" i="204"/>
  <c r="J26" i="204"/>
  <c r="E26" i="204" a="1"/>
  <c r="E26" i="204" s="1"/>
  <c r="D26" i="204"/>
  <c r="L26" i="204" s="1"/>
  <c r="M26" i="204" s="1"/>
  <c r="C26" i="204"/>
  <c r="H26" i="204" s="1"/>
  <c r="I26" i="204" s="1"/>
  <c r="O26" i="204" s="1"/>
  <c r="P25" i="204"/>
  <c r="L25" i="204"/>
  <c r="M25" i="204" s="1"/>
  <c r="J25" i="204"/>
  <c r="E25" i="204" a="1"/>
  <c r="E25" i="204" s="1"/>
  <c r="D25" i="204"/>
  <c r="C25" i="204"/>
  <c r="H25" i="204" s="1"/>
  <c r="I25" i="204" s="1"/>
  <c r="O25" i="204" s="1"/>
  <c r="P24" i="204"/>
  <c r="J24" i="204"/>
  <c r="E24" i="204" a="1"/>
  <c r="E24" i="204" s="1"/>
  <c r="D24" i="204"/>
  <c r="L24" i="204" s="1"/>
  <c r="M24" i="204" s="1"/>
  <c r="C24" i="204"/>
  <c r="H24" i="204" s="1"/>
  <c r="I24" i="204" s="1"/>
  <c r="O24" i="204" s="1"/>
  <c r="P23" i="204"/>
  <c r="L23" i="204"/>
  <c r="M23" i="204" s="1"/>
  <c r="J23" i="204"/>
  <c r="E23" i="204" a="1"/>
  <c r="E23" i="204" s="1"/>
  <c r="D23" i="204"/>
  <c r="C23" i="204"/>
  <c r="H23" i="204" s="1"/>
  <c r="I23" i="204" s="1"/>
  <c r="O23" i="204" s="1"/>
  <c r="P22" i="204"/>
  <c r="J22" i="204"/>
  <c r="E22" i="204" a="1"/>
  <c r="E22" i="204" s="1"/>
  <c r="D22" i="204"/>
  <c r="L22" i="204" s="1"/>
  <c r="M22" i="204" s="1"/>
  <c r="C22" i="204"/>
  <c r="H22" i="204" s="1"/>
  <c r="I22" i="204" s="1"/>
  <c r="O22" i="204" s="1"/>
  <c r="P21" i="204"/>
  <c r="L21" i="204"/>
  <c r="M21" i="204" s="1"/>
  <c r="J21" i="204"/>
  <c r="E21" i="204" a="1"/>
  <c r="E21" i="204" s="1"/>
  <c r="D21" i="204"/>
  <c r="C21" i="204"/>
  <c r="H21" i="204" s="1"/>
  <c r="I21" i="204" s="1"/>
  <c r="O21" i="204" s="1"/>
  <c r="P20" i="204"/>
  <c r="J20" i="204"/>
  <c r="D20" i="204"/>
  <c r="L20" i="204" s="1"/>
  <c r="M20" i="204" s="1"/>
  <c r="C20" i="204"/>
  <c r="H20" i="204" s="1"/>
  <c r="I20" i="204" s="1"/>
  <c r="O20" i="204" s="1"/>
  <c r="P19" i="204"/>
  <c r="L19" i="204"/>
  <c r="M19" i="204" s="1"/>
  <c r="J19" i="204"/>
  <c r="D19" i="204"/>
  <c r="C19" i="204"/>
  <c r="H19" i="204" s="1"/>
  <c r="P17" i="204"/>
  <c r="N17" i="204"/>
  <c r="E17" i="204"/>
  <c r="P16" i="204"/>
  <c r="N16" i="204"/>
  <c r="E16" i="204"/>
  <c r="N15" i="204"/>
  <c r="J15" i="204"/>
  <c r="J16" i="204" s="1"/>
  <c r="E15" i="204"/>
  <c r="P15" i="204" s="1"/>
  <c r="P14" i="204"/>
  <c r="J14" i="204"/>
  <c r="S13" i="204"/>
  <c r="P13" i="204"/>
  <c r="O13" i="204"/>
  <c r="P11" i="204"/>
  <c r="J11" i="204"/>
  <c r="P10" i="204"/>
  <c r="J10" i="204"/>
  <c r="E10" i="204"/>
  <c r="O9" i="204"/>
  <c r="S8" i="204"/>
  <c r="P8" i="204"/>
  <c r="J8" i="204"/>
  <c r="J9" i="204" s="1"/>
  <c r="L7" i="204"/>
  <c r="F7" i="204"/>
  <c r="X6" i="204"/>
  <c r="O92" i="204" s="1"/>
  <c r="V6" i="204"/>
  <c r="U6" i="204"/>
  <c r="T6" i="204"/>
  <c r="R6" i="204"/>
  <c r="P5" i="204"/>
  <c r="N5" i="204"/>
  <c r="M5" i="204"/>
  <c r="K5" i="204"/>
  <c r="J5" i="204"/>
  <c r="J13" i="204" s="1"/>
  <c r="N4" i="204"/>
  <c r="M4" i="204"/>
  <c r="J4" i="204"/>
  <c r="M11" i="204" s="1"/>
  <c r="S6" i="204" s="1"/>
  <c r="F4" i="204"/>
  <c r="E4" i="204"/>
  <c r="E5" i="204" s="1"/>
  <c r="P90" i="203"/>
  <c r="O90" i="203"/>
  <c r="K90" i="203"/>
  <c r="I90" i="203"/>
  <c r="G90" i="203"/>
  <c r="P89" i="203"/>
  <c r="O89" i="203"/>
  <c r="K89" i="203"/>
  <c r="I89" i="203"/>
  <c r="G89" i="203"/>
  <c r="P88" i="203"/>
  <c r="O88" i="203"/>
  <c r="K88" i="203"/>
  <c r="I88" i="203"/>
  <c r="G88" i="203"/>
  <c r="P87" i="203"/>
  <c r="O87" i="203"/>
  <c r="K87" i="203"/>
  <c r="I87" i="203"/>
  <c r="G87" i="203"/>
  <c r="P86" i="203"/>
  <c r="O86" i="203"/>
  <c r="K86" i="203"/>
  <c r="I86" i="203"/>
  <c r="G86" i="203"/>
  <c r="P85" i="203"/>
  <c r="O85" i="203"/>
  <c r="K85" i="203"/>
  <c r="I85" i="203"/>
  <c r="G85" i="203"/>
  <c r="P84" i="203"/>
  <c r="O84" i="203"/>
  <c r="K84" i="203"/>
  <c r="I84" i="203"/>
  <c r="G84" i="203"/>
  <c r="P83" i="203"/>
  <c r="O83" i="203"/>
  <c r="K83" i="203"/>
  <c r="I83" i="203"/>
  <c r="G83" i="203"/>
  <c r="P82" i="203"/>
  <c r="O82" i="203"/>
  <c r="K82" i="203"/>
  <c r="I82" i="203"/>
  <c r="G82" i="203"/>
  <c r="P81" i="203"/>
  <c r="O81" i="203"/>
  <c r="K81" i="203"/>
  <c r="I81" i="203"/>
  <c r="G81" i="203"/>
  <c r="P80" i="203"/>
  <c r="O80" i="203"/>
  <c r="K80" i="203"/>
  <c r="I80" i="203"/>
  <c r="G80" i="203"/>
  <c r="P79" i="203"/>
  <c r="O79" i="203"/>
  <c r="K79" i="203"/>
  <c r="I79" i="203"/>
  <c r="G79" i="203"/>
  <c r="P78" i="203"/>
  <c r="O78" i="203"/>
  <c r="K78" i="203"/>
  <c r="I78" i="203"/>
  <c r="G78" i="203"/>
  <c r="P77" i="203"/>
  <c r="O77" i="203"/>
  <c r="K77" i="203"/>
  <c r="I77" i="203"/>
  <c r="G77" i="203"/>
  <c r="P76" i="203"/>
  <c r="O76" i="203"/>
  <c r="K76" i="203"/>
  <c r="I76" i="203"/>
  <c r="G76" i="203"/>
  <c r="P75" i="203"/>
  <c r="O75" i="203"/>
  <c r="K75" i="203"/>
  <c r="I75" i="203"/>
  <c r="G75" i="203"/>
  <c r="P74" i="203"/>
  <c r="O74" i="203"/>
  <c r="K74" i="203"/>
  <c r="I74" i="203"/>
  <c r="G74" i="203"/>
  <c r="P73" i="203"/>
  <c r="K73" i="203"/>
  <c r="I73" i="203"/>
  <c r="G73" i="203"/>
  <c r="J67" i="203" s="1"/>
  <c r="P71" i="203"/>
  <c r="O71" i="203"/>
  <c r="K71" i="203"/>
  <c r="G71" i="203"/>
  <c r="P70" i="203"/>
  <c r="O70" i="203"/>
  <c r="N70" i="203"/>
  <c r="K70" i="203"/>
  <c r="G70" i="203"/>
  <c r="P69" i="203"/>
  <c r="O69" i="203"/>
  <c r="N69" i="203"/>
  <c r="K69" i="203"/>
  <c r="G69" i="203"/>
  <c r="N67" i="203"/>
  <c r="H66" i="203"/>
  <c r="S12" i="203" s="1"/>
  <c r="F66" i="203" a="1"/>
  <c r="F66" i="203" s="1"/>
  <c r="P65" i="203"/>
  <c r="P67" i="203" s="1"/>
  <c r="L65" i="203"/>
  <c r="L66" i="203" s="1"/>
  <c r="L67" i="203" s="1"/>
  <c r="K65" i="203"/>
  <c r="E65" i="203"/>
  <c r="O64" i="203"/>
  <c r="M64" i="203"/>
  <c r="L64" i="203"/>
  <c r="P64" i="203" s="1"/>
  <c r="K64" i="203"/>
  <c r="J64" i="203"/>
  <c r="H64" i="203"/>
  <c r="I64" i="203" s="1"/>
  <c r="E57" i="203"/>
  <c r="P57" i="203" s="1"/>
  <c r="O56" i="203"/>
  <c r="N56" i="203"/>
  <c r="L56" i="203"/>
  <c r="K56" i="203"/>
  <c r="H56" i="203"/>
  <c r="F56" i="203"/>
  <c r="P56" i="203" s="1"/>
  <c r="E56" i="203"/>
  <c r="O55" i="203"/>
  <c r="N55" i="203"/>
  <c r="L55" i="203"/>
  <c r="K55" i="203"/>
  <c r="H55" i="203"/>
  <c r="F55" i="203"/>
  <c r="P55" i="203" s="1"/>
  <c r="E55" i="203"/>
  <c r="O54" i="203"/>
  <c r="N54" i="203"/>
  <c r="L54" i="203"/>
  <c r="K54" i="203"/>
  <c r="H54" i="203"/>
  <c r="F54" i="203"/>
  <c r="P54" i="203" s="1"/>
  <c r="E54" i="203"/>
  <c r="O53" i="203"/>
  <c r="N53" i="203"/>
  <c r="L53" i="203"/>
  <c r="K53" i="203"/>
  <c r="H53" i="203"/>
  <c r="F53" i="203"/>
  <c r="P53" i="203" s="1"/>
  <c r="E53" i="203"/>
  <c r="O52" i="203"/>
  <c r="N52" i="203"/>
  <c r="L52" i="203"/>
  <c r="K52" i="203"/>
  <c r="H52" i="203"/>
  <c r="F52" i="203"/>
  <c r="P52" i="203" s="1"/>
  <c r="E52" i="203"/>
  <c r="O51" i="203"/>
  <c r="N51" i="203"/>
  <c r="L51" i="203"/>
  <c r="K51" i="203"/>
  <c r="H51" i="203"/>
  <c r="F51" i="203"/>
  <c r="P51" i="203" s="1"/>
  <c r="E51" i="203"/>
  <c r="O50" i="203"/>
  <c r="N50" i="203"/>
  <c r="L50" i="203"/>
  <c r="K50" i="203"/>
  <c r="H50" i="203"/>
  <c r="F50" i="203"/>
  <c r="P50" i="203" s="1"/>
  <c r="E50" i="203"/>
  <c r="O49" i="203"/>
  <c r="N49" i="203"/>
  <c r="L49" i="203"/>
  <c r="K49" i="203"/>
  <c r="H49" i="203"/>
  <c r="F49" i="203"/>
  <c r="P49" i="203" s="1"/>
  <c r="E49" i="203"/>
  <c r="O48" i="203"/>
  <c r="N48" i="203"/>
  <c r="L48" i="203"/>
  <c r="K48" i="203"/>
  <c r="H48" i="203"/>
  <c r="F48" i="203"/>
  <c r="P48" i="203" s="1"/>
  <c r="E48" i="203"/>
  <c r="O47" i="203"/>
  <c r="N47" i="203"/>
  <c r="L47" i="203"/>
  <c r="K47" i="203"/>
  <c r="H47" i="203"/>
  <c r="F47" i="203"/>
  <c r="P47" i="203" s="1"/>
  <c r="E47" i="203"/>
  <c r="O46" i="203"/>
  <c r="N46" i="203"/>
  <c r="K46" i="203"/>
  <c r="H46" i="203"/>
  <c r="F46" i="203"/>
  <c r="P46" i="203" s="1"/>
  <c r="E46" i="203"/>
  <c r="O45" i="203"/>
  <c r="N45" i="203"/>
  <c r="L45" i="203"/>
  <c r="K45" i="203"/>
  <c r="H45" i="203"/>
  <c r="F45" i="203"/>
  <c r="P45" i="203" s="1"/>
  <c r="E45" i="203"/>
  <c r="O44" i="203"/>
  <c r="N44" i="203"/>
  <c r="L44" i="203"/>
  <c r="K44" i="203"/>
  <c r="H44" i="203"/>
  <c r="F44" i="203"/>
  <c r="P44" i="203" s="1"/>
  <c r="E44" i="203"/>
  <c r="O43" i="203"/>
  <c r="N43" i="203"/>
  <c r="L43" i="203"/>
  <c r="K43" i="203"/>
  <c r="H43" i="203"/>
  <c r="F43" i="203"/>
  <c r="P43" i="203" s="1"/>
  <c r="E43" i="203"/>
  <c r="O42" i="203"/>
  <c r="N42" i="203"/>
  <c r="L42" i="203"/>
  <c r="K42" i="203"/>
  <c r="H42" i="203"/>
  <c r="F42" i="203"/>
  <c r="P42" i="203" s="1"/>
  <c r="E42" i="203"/>
  <c r="O41" i="203"/>
  <c r="N41" i="203"/>
  <c r="L41" i="203"/>
  <c r="K41" i="203"/>
  <c r="H41" i="203"/>
  <c r="F41" i="203"/>
  <c r="P41" i="203" s="1"/>
  <c r="E41" i="203"/>
  <c r="O40" i="203"/>
  <c r="N40" i="203"/>
  <c r="L40" i="203"/>
  <c r="K40" i="203"/>
  <c r="H40" i="203"/>
  <c r="F40" i="203"/>
  <c r="P40" i="203" s="1"/>
  <c r="E40" i="203"/>
  <c r="O39" i="203"/>
  <c r="N39" i="203"/>
  <c r="L39" i="203"/>
  <c r="K39" i="203"/>
  <c r="H39" i="203"/>
  <c r="F39" i="203"/>
  <c r="P39" i="203" s="1"/>
  <c r="E39" i="203"/>
  <c r="O38" i="203"/>
  <c r="N38" i="203"/>
  <c r="L38" i="203"/>
  <c r="K38" i="203"/>
  <c r="H38" i="203"/>
  <c r="F38" i="203"/>
  <c r="P38" i="203" s="1"/>
  <c r="E38" i="203"/>
  <c r="O37" i="203"/>
  <c r="N37" i="203"/>
  <c r="L37" i="203"/>
  <c r="K37" i="203"/>
  <c r="H37" i="203"/>
  <c r="F37" i="203"/>
  <c r="P37" i="203" s="1"/>
  <c r="E37" i="203"/>
  <c r="O36" i="203"/>
  <c r="N36" i="203"/>
  <c r="L36" i="203"/>
  <c r="K36" i="203"/>
  <c r="H36" i="203"/>
  <c r="F36" i="203"/>
  <c r="P36" i="203" s="1"/>
  <c r="E36" i="203"/>
  <c r="O34" i="203"/>
  <c r="N34" i="203"/>
  <c r="K34" i="203"/>
  <c r="H34" i="203"/>
  <c r="F34" i="203"/>
  <c r="P34" i="203" s="1"/>
  <c r="E34" i="203"/>
  <c r="O33" i="203"/>
  <c r="N33" i="203"/>
  <c r="K33" i="203"/>
  <c r="H33" i="203"/>
  <c r="F33" i="203"/>
  <c r="P33" i="203" s="1"/>
  <c r="E33" i="203"/>
  <c r="O32" i="203"/>
  <c r="N32" i="203"/>
  <c r="K32" i="203"/>
  <c r="H32" i="203"/>
  <c r="F32" i="203"/>
  <c r="P32" i="203" s="1"/>
  <c r="E32" i="203"/>
  <c r="O31" i="203"/>
  <c r="N31" i="203"/>
  <c r="K31" i="203"/>
  <c r="H31" i="203"/>
  <c r="F31" i="203"/>
  <c r="P31" i="203" s="1"/>
  <c r="E31" i="203"/>
  <c r="O30" i="203"/>
  <c r="N30" i="203"/>
  <c r="K30" i="203"/>
  <c r="H30" i="203"/>
  <c r="F30" i="203"/>
  <c r="P30" i="203" s="1"/>
  <c r="E30" i="203"/>
  <c r="P28" i="203"/>
  <c r="J28" i="203"/>
  <c r="D28" i="203"/>
  <c r="L28" i="203" s="1"/>
  <c r="M28" i="203" s="1"/>
  <c r="C28" i="203"/>
  <c r="H28" i="203" s="1"/>
  <c r="I28" i="203" s="1"/>
  <c r="O28" i="203" s="1"/>
  <c r="A28" i="203"/>
  <c r="P27" i="203"/>
  <c r="L27" i="203"/>
  <c r="M27" i="203" s="1"/>
  <c r="J27" i="203"/>
  <c r="D27" i="203"/>
  <c r="C27" i="203"/>
  <c r="H27" i="203" s="1"/>
  <c r="I27" i="203" s="1"/>
  <c r="O27" i="203" s="1"/>
  <c r="A27" i="203"/>
  <c r="P26" i="203"/>
  <c r="M26" i="203"/>
  <c r="L26" i="203"/>
  <c r="J26" i="203"/>
  <c r="E26" i="203" a="1"/>
  <c r="E26" i="203" s="1"/>
  <c r="D26" i="203"/>
  <c r="C26" i="203"/>
  <c r="H26" i="203" s="1"/>
  <c r="I26" i="203" s="1"/>
  <c r="O26" i="203" s="1"/>
  <c r="P25" i="203"/>
  <c r="J25" i="203"/>
  <c r="E25" i="203" a="1"/>
  <c r="E25" i="203" s="1"/>
  <c r="D25" i="203"/>
  <c r="L25" i="203" s="1"/>
  <c r="M25" i="203" s="1"/>
  <c r="C25" i="203"/>
  <c r="H25" i="203" s="1"/>
  <c r="I25" i="203" s="1"/>
  <c r="O25" i="203" s="1"/>
  <c r="P24" i="203"/>
  <c r="M24" i="203"/>
  <c r="L24" i="203"/>
  <c r="J24" i="203"/>
  <c r="E24" i="203" a="1"/>
  <c r="E24" i="203" s="1"/>
  <c r="D24" i="203"/>
  <c r="C24" i="203"/>
  <c r="H24" i="203" s="1"/>
  <c r="I24" i="203" s="1"/>
  <c r="O24" i="203" s="1"/>
  <c r="P23" i="203"/>
  <c r="J23" i="203"/>
  <c r="E23" i="203" a="1"/>
  <c r="E23" i="203" s="1"/>
  <c r="D23" i="203"/>
  <c r="L23" i="203" s="1"/>
  <c r="M23" i="203" s="1"/>
  <c r="C23" i="203"/>
  <c r="H23" i="203" s="1"/>
  <c r="I23" i="203" s="1"/>
  <c r="O23" i="203" s="1"/>
  <c r="P22" i="203"/>
  <c r="M22" i="203"/>
  <c r="L22" i="203"/>
  <c r="J22" i="203"/>
  <c r="E22" i="203" a="1"/>
  <c r="E22" i="203" s="1"/>
  <c r="D22" i="203"/>
  <c r="C22" i="203"/>
  <c r="H22" i="203" s="1"/>
  <c r="I22" i="203" s="1"/>
  <c r="O22" i="203" s="1"/>
  <c r="P21" i="203"/>
  <c r="J21" i="203"/>
  <c r="E21" i="203" a="1"/>
  <c r="E21" i="203" s="1"/>
  <c r="D21" i="203"/>
  <c r="L21" i="203" s="1"/>
  <c r="M21" i="203" s="1"/>
  <c r="C21" i="203"/>
  <c r="H21" i="203" s="1"/>
  <c r="I21" i="203" s="1"/>
  <c r="O21" i="203" s="1"/>
  <c r="P20" i="203"/>
  <c r="M20" i="203"/>
  <c r="L20" i="203"/>
  <c r="J20" i="203"/>
  <c r="D20" i="203"/>
  <c r="C20" i="203"/>
  <c r="H20" i="203" s="1"/>
  <c r="I20" i="203" s="1"/>
  <c r="O20" i="203" s="1"/>
  <c r="P19" i="203"/>
  <c r="J19" i="203"/>
  <c r="D19" i="203"/>
  <c r="L19" i="203" s="1"/>
  <c r="M19" i="203" s="1"/>
  <c r="C19" i="203"/>
  <c r="H19" i="203" s="1"/>
  <c r="N17" i="203"/>
  <c r="E17" i="203"/>
  <c r="P17" i="203" s="1"/>
  <c r="P16" i="203"/>
  <c r="N16" i="203"/>
  <c r="E16" i="203"/>
  <c r="N15" i="203"/>
  <c r="J15" i="203"/>
  <c r="J16" i="203" s="1"/>
  <c r="E15" i="203"/>
  <c r="P15" i="203" s="1"/>
  <c r="P14" i="203"/>
  <c r="J14" i="203"/>
  <c r="S13" i="203"/>
  <c r="P13" i="203"/>
  <c r="O13" i="203"/>
  <c r="J13" i="203"/>
  <c r="P11" i="203"/>
  <c r="J11" i="203"/>
  <c r="P10" i="203"/>
  <c r="J10" i="203"/>
  <c r="M11" i="203" s="1"/>
  <c r="S6" i="203" s="1"/>
  <c r="E10" i="203"/>
  <c r="O9" i="203"/>
  <c r="S8" i="203"/>
  <c r="P8" i="203"/>
  <c r="J8" i="203"/>
  <c r="J9" i="203" s="1"/>
  <c r="L7" i="203"/>
  <c r="F7" i="203"/>
  <c r="X6" i="203"/>
  <c r="O92" i="203" s="1"/>
  <c r="V6" i="203"/>
  <c r="U6" i="203"/>
  <c r="T6" i="203"/>
  <c r="R6" i="203"/>
  <c r="P5" i="203"/>
  <c r="N5" i="203"/>
  <c r="M5" i="203"/>
  <c r="K5" i="203"/>
  <c r="J5" i="203"/>
  <c r="N4" i="203"/>
  <c r="M4" i="203"/>
  <c r="J4" i="203"/>
  <c r="F4" i="203"/>
  <c r="E4" i="203"/>
  <c r="E5" i="203" s="1"/>
  <c r="P90" i="202"/>
  <c r="O90" i="202"/>
  <c r="K90" i="202"/>
  <c r="I90" i="202"/>
  <c r="G90" i="202"/>
  <c r="P89" i="202"/>
  <c r="O89" i="202"/>
  <c r="K89" i="202"/>
  <c r="I89" i="202"/>
  <c r="G89" i="202"/>
  <c r="P88" i="202"/>
  <c r="O88" i="202"/>
  <c r="K88" i="202"/>
  <c r="I88" i="202"/>
  <c r="G88" i="202"/>
  <c r="P87" i="202"/>
  <c r="O87" i="202"/>
  <c r="K87" i="202"/>
  <c r="I87" i="202"/>
  <c r="G87" i="202"/>
  <c r="P86" i="202"/>
  <c r="O86" i="202"/>
  <c r="K86" i="202"/>
  <c r="I86" i="202"/>
  <c r="G86" i="202"/>
  <c r="P85" i="202"/>
  <c r="O85" i="202"/>
  <c r="K85" i="202"/>
  <c r="I85" i="202"/>
  <c r="G85" i="202"/>
  <c r="P84" i="202"/>
  <c r="O84" i="202"/>
  <c r="K84" i="202"/>
  <c r="I84" i="202"/>
  <c r="G84" i="202"/>
  <c r="P83" i="202"/>
  <c r="O83" i="202"/>
  <c r="K83" i="202"/>
  <c r="I83" i="202"/>
  <c r="G83" i="202"/>
  <c r="P82" i="202"/>
  <c r="O82" i="202"/>
  <c r="K82" i="202"/>
  <c r="I82" i="202"/>
  <c r="G82" i="202"/>
  <c r="P81" i="202"/>
  <c r="O81" i="202"/>
  <c r="K81" i="202"/>
  <c r="I81" i="202"/>
  <c r="G81" i="202"/>
  <c r="P80" i="202"/>
  <c r="O80" i="202"/>
  <c r="K80" i="202"/>
  <c r="I80" i="202"/>
  <c r="G80" i="202"/>
  <c r="P79" i="202"/>
  <c r="O79" i="202"/>
  <c r="K79" i="202"/>
  <c r="I79" i="202"/>
  <c r="G79" i="202"/>
  <c r="P78" i="202"/>
  <c r="O78" i="202"/>
  <c r="K78" i="202"/>
  <c r="I78" i="202"/>
  <c r="G78" i="202"/>
  <c r="P77" i="202"/>
  <c r="O77" i="202"/>
  <c r="K77" i="202"/>
  <c r="I77" i="202"/>
  <c r="G77" i="202"/>
  <c r="P76" i="202"/>
  <c r="O76" i="202"/>
  <c r="K76" i="202"/>
  <c r="I76" i="202"/>
  <c r="G76" i="202"/>
  <c r="P75" i="202"/>
  <c r="O75" i="202"/>
  <c r="K75" i="202"/>
  <c r="I75" i="202"/>
  <c r="G75" i="202"/>
  <c r="P74" i="202"/>
  <c r="O74" i="202"/>
  <c r="K74" i="202"/>
  <c r="I74" i="202"/>
  <c r="G74" i="202"/>
  <c r="P73" i="202"/>
  <c r="K73" i="202"/>
  <c r="I73" i="202"/>
  <c r="G73" i="202"/>
  <c r="P71" i="202"/>
  <c r="O71" i="202"/>
  <c r="K71" i="202"/>
  <c r="G71" i="202"/>
  <c r="P70" i="202"/>
  <c r="O70" i="202"/>
  <c r="N70" i="202"/>
  <c r="K70" i="202"/>
  <c r="G70" i="202"/>
  <c r="P69" i="202"/>
  <c r="O69" i="202"/>
  <c r="N69" i="202"/>
  <c r="K69" i="202"/>
  <c r="G69" i="202"/>
  <c r="N67" i="202"/>
  <c r="H66" i="202"/>
  <c r="P66" i="202" s="1" a="1"/>
  <c r="P66" i="202" s="1"/>
  <c r="F66" i="202" a="1"/>
  <c r="F66" i="202" s="1"/>
  <c r="P65" i="202"/>
  <c r="P67" i="202" s="1"/>
  <c r="L65" i="202"/>
  <c r="K65" i="202"/>
  <c r="E65" i="202"/>
  <c r="O64" i="202"/>
  <c r="M64" i="202"/>
  <c r="L64" i="202"/>
  <c r="P64" i="202" s="1"/>
  <c r="K64" i="202"/>
  <c r="J64" i="202"/>
  <c r="J67" i="202" s="1"/>
  <c r="I64" i="202"/>
  <c r="H64" i="202"/>
  <c r="E64" i="202"/>
  <c r="E57" i="202"/>
  <c r="P57" i="202" s="1"/>
  <c r="O56" i="202"/>
  <c r="N56" i="202"/>
  <c r="L56" i="202"/>
  <c r="K56" i="202"/>
  <c r="H56" i="202"/>
  <c r="F56" i="202"/>
  <c r="P56" i="202" s="1"/>
  <c r="E56" i="202"/>
  <c r="O55" i="202"/>
  <c r="N55" i="202"/>
  <c r="L55" i="202"/>
  <c r="K55" i="202"/>
  <c r="H55" i="202"/>
  <c r="F55" i="202"/>
  <c r="P55" i="202" s="1"/>
  <c r="E55" i="202"/>
  <c r="O54" i="202"/>
  <c r="N54" i="202"/>
  <c r="L54" i="202"/>
  <c r="K54" i="202"/>
  <c r="H54" i="202"/>
  <c r="F54" i="202"/>
  <c r="P54" i="202" s="1"/>
  <c r="E54" i="202"/>
  <c r="O53" i="202"/>
  <c r="N53" i="202"/>
  <c r="L53" i="202"/>
  <c r="K53" i="202"/>
  <c r="H53" i="202"/>
  <c r="F53" i="202"/>
  <c r="P53" i="202" s="1"/>
  <c r="E53" i="202"/>
  <c r="O52" i="202"/>
  <c r="N52" i="202"/>
  <c r="L52" i="202"/>
  <c r="K52" i="202"/>
  <c r="H52" i="202"/>
  <c r="F52" i="202"/>
  <c r="P52" i="202" s="1"/>
  <c r="E52" i="202"/>
  <c r="O51" i="202"/>
  <c r="N51" i="202"/>
  <c r="L51" i="202"/>
  <c r="K51" i="202"/>
  <c r="H51" i="202"/>
  <c r="F51" i="202"/>
  <c r="P51" i="202" s="1"/>
  <c r="E51" i="202"/>
  <c r="O50" i="202"/>
  <c r="N50" i="202"/>
  <c r="L50" i="202"/>
  <c r="K50" i="202"/>
  <c r="H50" i="202"/>
  <c r="F50" i="202"/>
  <c r="P50" i="202" s="1"/>
  <c r="E50" i="202"/>
  <c r="O49" i="202"/>
  <c r="N49" i="202"/>
  <c r="L49" i="202"/>
  <c r="K49" i="202"/>
  <c r="H49" i="202"/>
  <c r="F49" i="202"/>
  <c r="P49" i="202" s="1"/>
  <c r="E49" i="202"/>
  <c r="O48" i="202"/>
  <c r="N48" i="202"/>
  <c r="L48" i="202"/>
  <c r="K48" i="202"/>
  <c r="H48" i="202"/>
  <c r="F48" i="202"/>
  <c r="P48" i="202" s="1"/>
  <c r="E48" i="202"/>
  <c r="O47" i="202"/>
  <c r="N47" i="202"/>
  <c r="L47" i="202"/>
  <c r="K47" i="202"/>
  <c r="H47" i="202"/>
  <c r="F47" i="202"/>
  <c r="P47" i="202" s="1"/>
  <c r="E47" i="202"/>
  <c r="O46" i="202"/>
  <c r="N46" i="202"/>
  <c r="L46" i="202"/>
  <c r="K46" i="202"/>
  <c r="H46" i="202"/>
  <c r="F46" i="202"/>
  <c r="P46" i="202" s="1"/>
  <c r="E46" i="202"/>
  <c r="O45" i="202"/>
  <c r="N45" i="202"/>
  <c r="L45" i="202"/>
  <c r="K45" i="202"/>
  <c r="H45" i="202"/>
  <c r="F45" i="202"/>
  <c r="P45" i="202" s="1"/>
  <c r="E45" i="202"/>
  <c r="O44" i="202"/>
  <c r="N44" i="202"/>
  <c r="L44" i="202"/>
  <c r="K44" i="202"/>
  <c r="H44" i="202"/>
  <c r="F44" i="202"/>
  <c r="P44" i="202" s="1"/>
  <c r="E44" i="202"/>
  <c r="O43" i="202"/>
  <c r="N43" i="202"/>
  <c r="L43" i="202"/>
  <c r="K43" i="202"/>
  <c r="H43" i="202"/>
  <c r="F43" i="202"/>
  <c r="P43" i="202" s="1"/>
  <c r="E43" i="202"/>
  <c r="O42" i="202"/>
  <c r="N42" i="202"/>
  <c r="L42" i="202"/>
  <c r="K42" i="202"/>
  <c r="H42" i="202"/>
  <c r="F42" i="202"/>
  <c r="P42" i="202" s="1"/>
  <c r="E42" i="202"/>
  <c r="O41" i="202"/>
  <c r="N41" i="202"/>
  <c r="L41" i="202"/>
  <c r="K41" i="202"/>
  <c r="H41" i="202"/>
  <c r="F41" i="202"/>
  <c r="P41" i="202" s="1"/>
  <c r="E41" i="202"/>
  <c r="O40" i="202"/>
  <c r="N40" i="202"/>
  <c r="L40" i="202"/>
  <c r="K40" i="202"/>
  <c r="H40" i="202"/>
  <c r="F40" i="202"/>
  <c r="P40" i="202" s="1"/>
  <c r="E40" i="202"/>
  <c r="O39" i="202"/>
  <c r="N39" i="202"/>
  <c r="L39" i="202"/>
  <c r="K39" i="202"/>
  <c r="H39" i="202"/>
  <c r="F39" i="202"/>
  <c r="P39" i="202" s="1"/>
  <c r="E39" i="202"/>
  <c r="O38" i="202"/>
  <c r="N38" i="202"/>
  <c r="L38" i="202"/>
  <c r="K38" i="202"/>
  <c r="H38" i="202"/>
  <c r="F38" i="202"/>
  <c r="P38" i="202" s="1"/>
  <c r="E38" i="202"/>
  <c r="O37" i="202"/>
  <c r="N37" i="202"/>
  <c r="L37" i="202"/>
  <c r="K37" i="202"/>
  <c r="H37" i="202"/>
  <c r="F37" i="202"/>
  <c r="P37" i="202" s="1"/>
  <c r="E37" i="202"/>
  <c r="O36" i="202"/>
  <c r="N36" i="202"/>
  <c r="L36" i="202"/>
  <c r="K36" i="202"/>
  <c r="H36" i="202"/>
  <c r="F36" i="202"/>
  <c r="P36" i="202" s="1"/>
  <c r="E36" i="202"/>
  <c r="O34" i="202"/>
  <c r="N34" i="202"/>
  <c r="K34" i="202"/>
  <c r="H34" i="202"/>
  <c r="F34" i="202"/>
  <c r="P34" i="202" s="1"/>
  <c r="E34" i="202"/>
  <c r="O33" i="202"/>
  <c r="N33" i="202"/>
  <c r="K33" i="202"/>
  <c r="H33" i="202"/>
  <c r="F33" i="202"/>
  <c r="P33" i="202" s="1"/>
  <c r="E33" i="202"/>
  <c r="O32" i="202"/>
  <c r="N32" i="202"/>
  <c r="K32" i="202"/>
  <c r="H32" i="202"/>
  <c r="F32" i="202"/>
  <c r="P32" i="202" s="1"/>
  <c r="E32" i="202"/>
  <c r="O31" i="202"/>
  <c r="N31" i="202"/>
  <c r="K31" i="202"/>
  <c r="H31" i="202"/>
  <c r="F31" i="202"/>
  <c r="P31" i="202" s="1"/>
  <c r="E31" i="202"/>
  <c r="O30" i="202"/>
  <c r="N30" i="202"/>
  <c r="K30" i="202"/>
  <c r="H30" i="202"/>
  <c r="F30" i="202"/>
  <c r="P30" i="202" s="1"/>
  <c r="E30" i="202"/>
  <c r="P28" i="202"/>
  <c r="J28" i="202"/>
  <c r="H28" i="202"/>
  <c r="I28" i="202" s="1"/>
  <c r="O28" i="202" s="1"/>
  <c r="F28" i="202"/>
  <c r="D28" i="202"/>
  <c r="L28" i="202" s="1"/>
  <c r="M28" i="202" s="1"/>
  <c r="C28" i="202"/>
  <c r="A28" i="202"/>
  <c r="P27" i="202"/>
  <c r="J27" i="202"/>
  <c r="D27" i="202"/>
  <c r="L27" i="202" s="1"/>
  <c r="M27" i="202" s="1"/>
  <c r="C27" i="202"/>
  <c r="H27" i="202" s="1"/>
  <c r="I27" i="202" s="1"/>
  <c r="O27" i="202" s="1"/>
  <c r="A27" i="202"/>
  <c r="P26" i="202"/>
  <c r="J26" i="202"/>
  <c r="E26" i="202" a="1"/>
  <c r="E26" i="202" s="1"/>
  <c r="D26" i="202"/>
  <c r="L26" i="202" s="1"/>
  <c r="M26" i="202" s="1"/>
  <c r="C26" i="202"/>
  <c r="H26" i="202" s="1"/>
  <c r="I26" i="202" s="1"/>
  <c r="O26" i="202" s="1"/>
  <c r="P25" i="202"/>
  <c r="J25" i="202"/>
  <c r="E25" i="202" a="1"/>
  <c r="E25" i="202" s="1"/>
  <c r="D25" i="202"/>
  <c r="L25" i="202" s="1"/>
  <c r="M25" i="202" s="1"/>
  <c r="C25" i="202"/>
  <c r="H25" i="202" s="1"/>
  <c r="I25" i="202" s="1"/>
  <c r="O25" i="202" s="1"/>
  <c r="P24" i="202"/>
  <c r="J24" i="202"/>
  <c r="E24" i="202" a="1"/>
  <c r="E24" i="202" s="1"/>
  <c r="D24" i="202"/>
  <c r="L24" i="202" s="1"/>
  <c r="M24" i="202" s="1"/>
  <c r="C24" i="202"/>
  <c r="H24" i="202" s="1"/>
  <c r="I24" i="202" s="1"/>
  <c r="O24" i="202" s="1"/>
  <c r="P23" i="202"/>
  <c r="J23" i="202"/>
  <c r="E23" i="202" a="1"/>
  <c r="E23" i="202" s="1"/>
  <c r="D23" i="202"/>
  <c r="L23" i="202" s="1"/>
  <c r="M23" i="202" s="1"/>
  <c r="C23" i="202"/>
  <c r="H23" i="202" s="1"/>
  <c r="I23" i="202" s="1"/>
  <c r="O23" i="202" s="1"/>
  <c r="P22" i="202"/>
  <c r="J22" i="202"/>
  <c r="E22" i="202" a="1"/>
  <c r="E22" i="202" s="1"/>
  <c r="D22" i="202"/>
  <c r="L22" i="202" s="1"/>
  <c r="M22" i="202" s="1"/>
  <c r="C22" i="202"/>
  <c r="H22" i="202" s="1"/>
  <c r="I22" i="202" s="1"/>
  <c r="O22" i="202" s="1"/>
  <c r="P21" i="202"/>
  <c r="J21" i="202"/>
  <c r="E21" i="202" a="1"/>
  <c r="E21" i="202" s="1"/>
  <c r="D21" i="202"/>
  <c r="L21" i="202" s="1"/>
  <c r="M21" i="202" s="1"/>
  <c r="C21" i="202"/>
  <c r="H21" i="202" s="1"/>
  <c r="I21" i="202" s="1"/>
  <c r="O21" i="202" s="1"/>
  <c r="P20" i="202"/>
  <c r="J20" i="202"/>
  <c r="D20" i="202"/>
  <c r="L20" i="202" s="1"/>
  <c r="M20" i="202" s="1"/>
  <c r="C20" i="202"/>
  <c r="H20" i="202" s="1"/>
  <c r="I20" i="202" s="1"/>
  <c r="O20" i="202" s="1"/>
  <c r="P19" i="202"/>
  <c r="J19" i="202"/>
  <c r="E19" i="202" a="1"/>
  <c r="E19" i="202" s="1"/>
  <c r="D19" i="202"/>
  <c r="L19" i="202" s="1"/>
  <c r="M19" i="202" s="1"/>
  <c r="C19" i="202"/>
  <c r="H19" i="202" s="1"/>
  <c r="P17" i="202"/>
  <c r="N17" i="202"/>
  <c r="E17" i="202"/>
  <c r="P16" i="202"/>
  <c r="N16" i="202"/>
  <c r="E16" i="202"/>
  <c r="N15" i="202"/>
  <c r="J15" i="202"/>
  <c r="J16" i="202" s="1"/>
  <c r="E15" i="202"/>
  <c r="P15" i="202" s="1"/>
  <c r="P14" i="202"/>
  <c r="J14" i="202"/>
  <c r="S13" i="202"/>
  <c r="P13" i="202"/>
  <c r="O13" i="202"/>
  <c r="P11" i="202"/>
  <c r="J11" i="202"/>
  <c r="P10" i="202"/>
  <c r="J10" i="202"/>
  <c r="M11" i="202" s="1"/>
  <c r="S6" i="202" s="1"/>
  <c r="E10" i="202"/>
  <c r="O9" i="202"/>
  <c r="S8" i="202"/>
  <c r="P8" i="202"/>
  <c r="J8" i="202"/>
  <c r="J9" i="202" s="1"/>
  <c r="L7" i="202"/>
  <c r="F7" i="202"/>
  <c r="X6" i="202"/>
  <c r="O92" i="202" s="1"/>
  <c r="V6" i="202"/>
  <c r="U6" i="202"/>
  <c r="T6" i="202"/>
  <c r="R6" i="202"/>
  <c r="P5" i="202"/>
  <c r="N5" i="202"/>
  <c r="M5" i="202"/>
  <c r="K5" i="202"/>
  <c r="J5" i="202"/>
  <c r="J13" i="202" s="1"/>
  <c r="N4" i="202"/>
  <c r="M4" i="202"/>
  <c r="J4" i="202"/>
  <c r="F4" i="202"/>
  <c r="E4" i="202"/>
  <c r="E5" i="202" s="1"/>
  <c r="P90" i="201"/>
  <c r="O90" i="201"/>
  <c r="K90" i="201"/>
  <c r="I90" i="201"/>
  <c r="G90" i="201"/>
  <c r="P89" i="201"/>
  <c r="O89" i="201"/>
  <c r="K89" i="201"/>
  <c r="I89" i="201"/>
  <c r="G89" i="201"/>
  <c r="P88" i="201"/>
  <c r="O88" i="201"/>
  <c r="K88" i="201"/>
  <c r="I88" i="201"/>
  <c r="G88" i="201"/>
  <c r="P87" i="201"/>
  <c r="O87" i="201"/>
  <c r="K87" i="201"/>
  <c r="I87" i="201"/>
  <c r="G87" i="201"/>
  <c r="P86" i="201"/>
  <c r="O86" i="201"/>
  <c r="K86" i="201"/>
  <c r="I86" i="201"/>
  <c r="G86" i="201"/>
  <c r="P85" i="201"/>
  <c r="O85" i="201"/>
  <c r="K85" i="201"/>
  <c r="I85" i="201"/>
  <c r="G85" i="201"/>
  <c r="P84" i="201"/>
  <c r="O84" i="201"/>
  <c r="K84" i="201"/>
  <c r="I84" i="201"/>
  <c r="G84" i="201"/>
  <c r="P83" i="201"/>
  <c r="O83" i="201"/>
  <c r="K83" i="201"/>
  <c r="I83" i="201"/>
  <c r="G83" i="201"/>
  <c r="P82" i="201"/>
  <c r="O82" i="201"/>
  <c r="K82" i="201"/>
  <c r="I82" i="201"/>
  <c r="G82" i="201"/>
  <c r="P81" i="201"/>
  <c r="O81" i="201"/>
  <c r="K81" i="201"/>
  <c r="I81" i="201"/>
  <c r="G81" i="201"/>
  <c r="P80" i="201"/>
  <c r="O80" i="201"/>
  <c r="K80" i="201"/>
  <c r="I80" i="201"/>
  <c r="G80" i="201"/>
  <c r="P79" i="201"/>
  <c r="O79" i="201"/>
  <c r="K79" i="201"/>
  <c r="I79" i="201"/>
  <c r="G79" i="201"/>
  <c r="P78" i="201"/>
  <c r="O78" i="201"/>
  <c r="K78" i="201"/>
  <c r="I78" i="201"/>
  <c r="G78" i="201"/>
  <c r="P77" i="201"/>
  <c r="O77" i="201"/>
  <c r="K77" i="201"/>
  <c r="I77" i="201"/>
  <c r="G77" i="201"/>
  <c r="P76" i="201"/>
  <c r="O76" i="201"/>
  <c r="K76" i="201"/>
  <c r="I76" i="201"/>
  <c r="G76" i="201"/>
  <c r="P75" i="201"/>
  <c r="O75" i="201"/>
  <c r="K75" i="201"/>
  <c r="I75" i="201"/>
  <c r="G75" i="201"/>
  <c r="P74" i="201"/>
  <c r="O74" i="201"/>
  <c r="K74" i="201"/>
  <c r="I74" i="201"/>
  <c r="G74" i="201"/>
  <c r="P73" i="201"/>
  <c r="K73" i="201"/>
  <c r="I73" i="201"/>
  <c r="G73" i="201"/>
  <c r="P71" i="201"/>
  <c r="O71" i="201"/>
  <c r="K71" i="201"/>
  <c r="G71" i="201"/>
  <c r="P70" i="201"/>
  <c r="O70" i="201"/>
  <c r="N70" i="201"/>
  <c r="K70" i="201"/>
  <c r="G70" i="201"/>
  <c r="P69" i="201"/>
  <c r="O69" i="201"/>
  <c r="N69" i="201"/>
  <c r="K69" i="201"/>
  <c r="G69" i="201"/>
  <c r="N67" i="201"/>
  <c r="H66" i="201"/>
  <c r="I66" i="201" s="1"/>
  <c r="O73" i="201" s="1"/>
  <c r="F66" i="201" a="1"/>
  <c r="F66" i="201" s="1"/>
  <c r="P65" i="201"/>
  <c r="L65" i="201"/>
  <c r="L66" i="201" s="1"/>
  <c r="L67" i="201" s="1"/>
  <c r="K65" i="201"/>
  <c r="E65" i="201"/>
  <c r="O64" i="201"/>
  <c r="M64" i="201"/>
  <c r="L64" i="201"/>
  <c r="P64" i="201" s="1"/>
  <c r="K64" i="201"/>
  <c r="J64" i="201"/>
  <c r="J67" i="201" s="1"/>
  <c r="H64" i="201"/>
  <c r="I64" i="201" s="1"/>
  <c r="E64" i="201"/>
  <c r="P57" i="201"/>
  <c r="E57" i="201"/>
  <c r="O56" i="201"/>
  <c r="N56" i="201"/>
  <c r="L56" i="201"/>
  <c r="K56" i="201"/>
  <c r="H56" i="201"/>
  <c r="F56" i="201"/>
  <c r="P56" i="201" s="1"/>
  <c r="E56" i="201"/>
  <c r="O55" i="201"/>
  <c r="N55" i="201"/>
  <c r="L55" i="201"/>
  <c r="K55" i="201"/>
  <c r="H55" i="201"/>
  <c r="F55" i="201"/>
  <c r="P55" i="201" s="1"/>
  <c r="E55" i="201"/>
  <c r="O54" i="201"/>
  <c r="N54" i="201"/>
  <c r="L54" i="201"/>
  <c r="K54" i="201"/>
  <c r="H54" i="201"/>
  <c r="F54" i="201"/>
  <c r="P54" i="201" s="1"/>
  <c r="E54" i="201"/>
  <c r="O53" i="201"/>
  <c r="N53" i="201"/>
  <c r="L53" i="201"/>
  <c r="K53" i="201"/>
  <c r="H53" i="201"/>
  <c r="F53" i="201"/>
  <c r="P53" i="201" s="1"/>
  <c r="E53" i="201"/>
  <c r="O52" i="201"/>
  <c r="N52" i="201"/>
  <c r="L52" i="201"/>
  <c r="K52" i="201"/>
  <c r="H52" i="201"/>
  <c r="F52" i="201"/>
  <c r="P52" i="201" s="1"/>
  <c r="E52" i="201"/>
  <c r="O51" i="201"/>
  <c r="N51" i="201"/>
  <c r="L51" i="201"/>
  <c r="K51" i="201"/>
  <c r="H51" i="201"/>
  <c r="F51" i="201"/>
  <c r="P51" i="201" s="1"/>
  <c r="E51" i="201"/>
  <c r="O50" i="201"/>
  <c r="N50" i="201"/>
  <c r="L50" i="201"/>
  <c r="K50" i="201"/>
  <c r="H50" i="201"/>
  <c r="F50" i="201"/>
  <c r="P50" i="201" s="1"/>
  <c r="E50" i="201"/>
  <c r="O49" i="201"/>
  <c r="N49" i="201"/>
  <c r="L49" i="201"/>
  <c r="K49" i="201"/>
  <c r="H49" i="201"/>
  <c r="F49" i="201"/>
  <c r="P49" i="201" s="1"/>
  <c r="E49" i="201"/>
  <c r="O48" i="201"/>
  <c r="N48" i="201"/>
  <c r="L48" i="201"/>
  <c r="K48" i="201"/>
  <c r="H48" i="201"/>
  <c r="F48" i="201"/>
  <c r="P48" i="201" s="1"/>
  <c r="E48" i="201"/>
  <c r="O47" i="201"/>
  <c r="N47" i="201"/>
  <c r="L47" i="201"/>
  <c r="K47" i="201"/>
  <c r="H47" i="201"/>
  <c r="F47" i="201"/>
  <c r="P47" i="201" s="1"/>
  <c r="E47" i="201"/>
  <c r="O46" i="201"/>
  <c r="N46" i="201"/>
  <c r="L46" i="201"/>
  <c r="K46" i="201"/>
  <c r="H46" i="201"/>
  <c r="F46" i="201"/>
  <c r="P46" i="201" s="1"/>
  <c r="E46" i="201"/>
  <c r="O45" i="201"/>
  <c r="N45" i="201"/>
  <c r="L45" i="201"/>
  <c r="K45" i="201"/>
  <c r="H45" i="201"/>
  <c r="F45" i="201"/>
  <c r="P45" i="201" s="1"/>
  <c r="E45" i="201"/>
  <c r="O44" i="201"/>
  <c r="N44" i="201"/>
  <c r="L44" i="201"/>
  <c r="K44" i="201"/>
  <c r="H44" i="201"/>
  <c r="F44" i="201"/>
  <c r="P44" i="201" s="1"/>
  <c r="E44" i="201"/>
  <c r="O43" i="201"/>
  <c r="N43" i="201"/>
  <c r="L43" i="201"/>
  <c r="K43" i="201"/>
  <c r="H43" i="201"/>
  <c r="F43" i="201"/>
  <c r="P43" i="201" s="1"/>
  <c r="E43" i="201"/>
  <c r="O42" i="201"/>
  <c r="N42" i="201"/>
  <c r="L42" i="201"/>
  <c r="K42" i="201"/>
  <c r="H42" i="201"/>
  <c r="F42" i="201"/>
  <c r="P42" i="201" s="1"/>
  <c r="E42" i="201"/>
  <c r="O41" i="201"/>
  <c r="N41" i="201"/>
  <c r="L41" i="201"/>
  <c r="K41" i="201"/>
  <c r="H41" i="201"/>
  <c r="F41" i="201"/>
  <c r="P41" i="201" s="1"/>
  <c r="E41" i="201"/>
  <c r="O40" i="201"/>
  <c r="N40" i="201"/>
  <c r="L40" i="201"/>
  <c r="K40" i="201"/>
  <c r="H40" i="201"/>
  <c r="F40" i="201"/>
  <c r="P40" i="201" s="1"/>
  <c r="E40" i="201"/>
  <c r="O39" i="201"/>
  <c r="N39" i="201"/>
  <c r="L39" i="201"/>
  <c r="K39" i="201"/>
  <c r="H39" i="201"/>
  <c r="F39" i="201"/>
  <c r="P39" i="201" s="1"/>
  <c r="E39" i="201"/>
  <c r="O38" i="201"/>
  <c r="N38" i="201"/>
  <c r="L38" i="201"/>
  <c r="K38" i="201"/>
  <c r="H38" i="201"/>
  <c r="F38" i="201"/>
  <c r="P38" i="201" s="1"/>
  <c r="E38" i="201"/>
  <c r="O37" i="201"/>
  <c r="N37" i="201"/>
  <c r="L37" i="201"/>
  <c r="K37" i="201"/>
  <c r="H37" i="201"/>
  <c r="F37" i="201"/>
  <c r="P37" i="201" s="1"/>
  <c r="E37" i="201"/>
  <c r="O36" i="201"/>
  <c r="N36" i="201"/>
  <c r="L36" i="201"/>
  <c r="K36" i="201"/>
  <c r="H36" i="201"/>
  <c r="F36" i="201"/>
  <c r="P36" i="201" s="1"/>
  <c r="E36" i="201"/>
  <c r="P34" i="201"/>
  <c r="O34" i="201"/>
  <c r="N34" i="201"/>
  <c r="K34" i="201"/>
  <c r="H34" i="201"/>
  <c r="F34" i="201"/>
  <c r="E34" i="201"/>
  <c r="O33" i="201"/>
  <c r="N33" i="201"/>
  <c r="K33" i="201"/>
  <c r="H33" i="201"/>
  <c r="F33" i="201"/>
  <c r="P33" i="201" s="1"/>
  <c r="E33" i="201"/>
  <c r="O32" i="201"/>
  <c r="N32" i="201"/>
  <c r="K32" i="201"/>
  <c r="H32" i="201"/>
  <c r="F32" i="201"/>
  <c r="P32" i="201" s="1"/>
  <c r="E32" i="201"/>
  <c r="O31" i="201"/>
  <c r="N31" i="201"/>
  <c r="K31" i="201"/>
  <c r="H31" i="201"/>
  <c r="F31" i="201"/>
  <c r="P31" i="201" s="1"/>
  <c r="E31" i="201"/>
  <c r="O30" i="201"/>
  <c r="N30" i="201"/>
  <c r="K30" i="201"/>
  <c r="H30" i="201"/>
  <c r="F30" i="201"/>
  <c r="P30" i="201" s="1"/>
  <c r="E30" i="201"/>
  <c r="P28" i="201"/>
  <c r="J28" i="201"/>
  <c r="D28" i="201"/>
  <c r="L28" i="201" s="1"/>
  <c r="M28" i="201" s="1"/>
  <c r="C28" i="201"/>
  <c r="F28" i="201" s="1"/>
  <c r="A28" i="201"/>
  <c r="P27" i="201"/>
  <c r="J27" i="201"/>
  <c r="D27" i="201"/>
  <c r="L27" i="201" s="1"/>
  <c r="M27" i="201" s="1"/>
  <c r="C27" i="201"/>
  <c r="H27" i="201" s="1"/>
  <c r="I27" i="201" s="1"/>
  <c r="O27" i="201" s="1"/>
  <c r="A27" i="201"/>
  <c r="P26" i="201"/>
  <c r="J26" i="201"/>
  <c r="E26" i="201" a="1"/>
  <c r="E26" i="201" s="1"/>
  <c r="D26" i="201"/>
  <c r="L26" i="201" s="1"/>
  <c r="M26" i="201" s="1"/>
  <c r="C26" i="201"/>
  <c r="H26" i="201" s="1"/>
  <c r="I26" i="201" s="1"/>
  <c r="O26" i="201" s="1"/>
  <c r="P25" i="201"/>
  <c r="L25" i="201"/>
  <c r="M25" i="201" s="1"/>
  <c r="J25" i="201"/>
  <c r="E25" i="201" a="1"/>
  <c r="E25" i="201" s="1"/>
  <c r="D25" i="201"/>
  <c r="C25" i="201"/>
  <c r="F25" i="201" s="1"/>
  <c r="P24" i="201"/>
  <c r="J24" i="201"/>
  <c r="E24" i="201" a="1"/>
  <c r="E24" i="201" s="1"/>
  <c r="D24" i="201"/>
  <c r="L24" i="201" s="1"/>
  <c r="M24" i="201" s="1"/>
  <c r="C24" i="201"/>
  <c r="H24" i="201" s="1"/>
  <c r="I24" i="201" s="1"/>
  <c r="O24" i="201" s="1"/>
  <c r="P23" i="201"/>
  <c r="L23" i="201"/>
  <c r="M23" i="201" s="1"/>
  <c r="J23" i="201"/>
  <c r="E23" i="201" a="1"/>
  <c r="E23" i="201" s="1"/>
  <c r="D23" i="201"/>
  <c r="C23" i="201"/>
  <c r="F23" i="201" s="1"/>
  <c r="P22" i="201"/>
  <c r="J22" i="201"/>
  <c r="E22" i="201" a="1"/>
  <c r="E22" i="201" s="1"/>
  <c r="D22" i="201"/>
  <c r="L22" i="201" s="1"/>
  <c r="M22" i="201" s="1"/>
  <c r="C22" i="201"/>
  <c r="H22" i="201" s="1"/>
  <c r="I22" i="201" s="1"/>
  <c r="O22" i="201" s="1"/>
  <c r="P21" i="201"/>
  <c r="L21" i="201"/>
  <c r="M21" i="201" s="1"/>
  <c r="J21" i="201"/>
  <c r="E21" i="201" a="1"/>
  <c r="E21" i="201" s="1"/>
  <c r="D21" i="201"/>
  <c r="C21" i="201"/>
  <c r="F21" i="201" s="1"/>
  <c r="P20" i="201"/>
  <c r="J20" i="201"/>
  <c r="D20" i="201"/>
  <c r="L20" i="201" s="1"/>
  <c r="M20" i="201" s="1"/>
  <c r="C20" i="201"/>
  <c r="H20" i="201" s="1"/>
  <c r="I20" i="201" s="1"/>
  <c r="O20" i="201" s="1"/>
  <c r="P19" i="201"/>
  <c r="L19" i="201"/>
  <c r="M19" i="201" s="1"/>
  <c r="J19" i="201"/>
  <c r="D19" i="201"/>
  <c r="C19" i="201"/>
  <c r="F19" i="201" s="1"/>
  <c r="P17" i="201"/>
  <c r="N17" i="201"/>
  <c r="E17" i="201"/>
  <c r="P16" i="201"/>
  <c r="N16" i="201"/>
  <c r="E16" i="201"/>
  <c r="N15" i="201"/>
  <c r="J15" i="201"/>
  <c r="J16" i="201" s="1"/>
  <c r="E15" i="201"/>
  <c r="P15" i="201" s="1"/>
  <c r="P14" i="201"/>
  <c r="J14" i="201"/>
  <c r="S13" i="201"/>
  <c r="P13" i="201"/>
  <c r="O13" i="201"/>
  <c r="J13" i="201"/>
  <c r="S12" i="201"/>
  <c r="P11" i="201"/>
  <c r="J11" i="201"/>
  <c r="P10" i="201"/>
  <c r="J10" i="201"/>
  <c r="E10" i="201"/>
  <c r="O9" i="201"/>
  <c r="S8" i="201"/>
  <c r="P8" i="201"/>
  <c r="J8" i="201"/>
  <c r="J9" i="201" s="1"/>
  <c r="L7" i="201"/>
  <c r="F7" i="201"/>
  <c r="X6" i="201"/>
  <c r="O92" i="201" s="1"/>
  <c r="V6" i="201"/>
  <c r="U6" i="201"/>
  <c r="T6" i="201"/>
  <c r="R6" i="201"/>
  <c r="P5" i="201"/>
  <c r="N5" i="201"/>
  <c r="M5" i="201"/>
  <c r="K5" i="201"/>
  <c r="J5" i="201"/>
  <c r="N4" i="201"/>
  <c r="M4" i="201"/>
  <c r="J4" i="201"/>
  <c r="M11" i="201" s="1"/>
  <c r="S6" i="201" s="1"/>
  <c r="F4" i="201"/>
  <c r="E4" i="201"/>
  <c r="E5" i="201" s="1"/>
  <c r="P90" i="200"/>
  <c r="O90" i="200"/>
  <c r="K90" i="200"/>
  <c r="I90" i="200"/>
  <c r="G90" i="200"/>
  <c r="P89" i="200"/>
  <c r="O89" i="200"/>
  <c r="K89" i="200"/>
  <c r="I89" i="200"/>
  <c r="G89" i="200"/>
  <c r="P88" i="200"/>
  <c r="O88" i="200"/>
  <c r="K88" i="200"/>
  <c r="I88" i="200"/>
  <c r="G88" i="200"/>
  <c r="P87" i="200"/>
  <c r="O87" i="200"/>
  <c r="K87" i="200"/>
  <c r="I87" i="200"/>
  <c r="G87" i="200"/>
  <c r="P86" i="200"/>
  <c r="O86" i="200"/>
  <c r="K86" i="200"/>
  <c r="I86" i="200"/>
  <c r="G86" i="200"/>
  <c r="P85" i="200"/>
  <c r="O85" i="200"/>
  <c r="K85" i="200"/>
  <c r="I85" i="200"/>
  <c r="G85" i="200"/>
  <c r="P84" i="200"/>
  <c r="O84" i="200"/>
  <c r="K84" i="200"/>
  <c r="I84" i="200"/>
  <c r="G84" i="200"/>
  <c r="P83" i="200"/>
  <c r="O83" i="200"/>
  <c r="K83" i="200"/>
  <c r="I83" i="200"/>
  <c r="G83" i="200"/>
  <c r="P82" i="200"/>
  <c r="O82" i="200"/>
  <c r="K82" i="200"/>
  <c r="I82" i="200"/>
  <c r="G82" i="200"/>
  <c r="J67" i="200" s="1"/>
  <c r="P81" i="200"/>
  <c r="O81" i="200"/>
  <c r="K81" i="200"/>
  <c r="I81" i="200"/>
  <c r="G81" i="200"/>
  <c r="P80" i="200"/>
  <c r="O80" i="200"/>
  <c r="K80" i="200"/>
  <c r="I80" i="200"/>
  <c r="G80" i="200"/>
  <c r="P79" i="200"/>
  <c r="O79" i="200"/>
  <c r="K79" i="200"/>
  <c r="I79" i="200"/>
  <c r="G79" i="200"/>
  <c r="P78" i="200"/>
  <c r="O78" i="200"/>
  <c r="K78" i="200"/>
  <c r="I78" i="200"/>
  <c r="G78" i="200"/>
  <c r="P77" i="200"/>
  <c r="O77" i="200"/>
  <c r="K77" i="200"/>
  <c r="I77" i="200"/>
  <c r="G77" i="200"/>
  <c r="P76" i="200"/>
  <c r="O76" i="200"/>
  <c r="K76" i="200"/>
  <c r="I76" i="200"/>
  <c r="G76" i="200"/>
  <c r="P75" i="200"/>
  <c r="O75" i="200"/>
  <c r="K75" i="200"/>
  <c r="I75" i="200"/>
  <c r="G75" i="200"/>
  <c r="P74" i="200"/>
  <c r="O74" i="200"/>
  <c r="K74" i="200"/>
  <c r="I74" i="200"/>
  <c r="G74" i="200"/>
  <c r="P73" i="200"/>
  <c r="K73" i="200"/>
  <c r="I73" i="200"/>
  <c r="G73" i="200"/>
  <c r="P71" i="200"/>
  <c r="O71" i="200"/>
  <c r="K71" i="200"/>
  <c r="G71" i="200"/>
  <c r="P70" i="200"/>
  <c r="O70" i="200"/>
  <c r="N70" i="200"/>
  <c r="K70" i="200"/>
  <c r="G70" i="200"/>
  <c r="P69" i="200"/>
  <c r="O69" i="200"/>
  <c r="N69" i="200"/>
  <c r="K69" i="200"/>
  <c r="G69" i="200"/>
  <c r="N67" i="200"/>
  <c r="F66" i="200" a="1"/>
  <c r="F66" i="200" s="1"/>
  <c r="P65" i="200"/>
  <c r="L65" i="200"/>
  <c r="L66" i="200" s="1"/>
  <c r="L67" i="200" s="1"/>
  <c r="K65" i="200"/>
  <c r="E65" i="200"/>
  <c r="O64" i="200"/>
  <c r="M64" i="200"/>
  <c r="L64" i="200"/>
  <c r="P64" i="200" s="1"/>
  <c r="K64" i="200"/>
  <c r="E64" i="200" s="1"/>
  <c r="J64" i="200"/>
  <c r="H64" i="200"/>
  <c r="I64" i="200" s="1"/>
  <c r="E57" i="200"/>
  <c r="P57" i="200" s="1"/>
  <c r="O56" i="200"/>
  <c r="N56" i="200"/>
  <c r="L56" i="200"/>
  <c r="K56" i="200"/>
  <c r="H56" i="200"/>
  <c r="F56" i="200"/>
  <c r="P56" i="200" s="1"/>
  <c r="E56" i="200"/>
  <c r="O55" i="200"/>
  <c r="N55" i="200"/>
  <c r="L55" i="200"/>
  <c r="K55" i="200"/>
  <c r="H55" i="200"/>
  <c r="F55" i="200"/>
  <c r="P55" i="200" s="1"/>
  <c r="E55" i="200"/>
  <c r="O54" i="200"/>
  <c r="N54" i="200"/>
  <c r="L54" i="200"/>
  <c r="K54" i="200"/>
  <c r="H54" i="200"/>
  <c r="F54" i="200"/>
  <c r="P54" i="200" s="1"/>
  <c r="E54" i="200"/>
  <c r="O53" i="200"/>
  <c r="N53" i="200"/>
  <c r="L53" i="200"/>
  <c r="K53" i="200"/>
  <c r="H53" i="200"/>
  <c r="F53" i="200"/>
  <c r="P53" i="200" s="1"/>
  <c r="E53" i="200"/>
  <c r="O52" i="200"/>
  <c r="N52" i="200"/>
  <c r="L52" i="200"/>
  <c r="K52" i="200"/>
  <c r="H52" i="200"/>
  <c r="F52" i="200"/>
  <c r="P52" i="200" s="1"/>
  <c r="E52" i="200"/>
  <c r="O51" i="200"/>
  <c r="N51" i="200"/>
  <c r="L51" i="200"/>
  <c r="K51" i="200"/>
  <c r="H51" i="200"/>
  <c r="F51" i="200"/>
  <c r="P51" i="200" s="1"/>
  <c r="E51" i="200"/>
  <c r="O50" i="200"/>
  <c r="N50" i="200"/>
  <c r="L50" i="200"/>
  <c r="K50" i="200"/>
  <c r="H50" i="200"/>
  <c r="F50" i="200"/>
  <c r="P50" i="200" s="1"/>
  <c r="E50" i="200"/>
  <c r="O49" i="200"/>
  <c r="N49" i="200"/>
  <c r="L49" i="200"/>
  <c r="K49" i="200"/>
  <c r="H49" i="200"/>
  <c r="F49" i="200"/>
  <c r="P49" i="200" s="1"/>
  <c r="E49" i="200"/>
  <c r="O48" i="200"/>
  <c r="N48" i="200"/>
  <c r="L48" i="200"/>
  <c r="K48" i="200"/>
  <c r="H48" i="200"/>
  <c r="F48" i="200"/>
  <c r="P48" i="200" s="1"/>
  <c r="E48" i="200"/>
  <c r="O47" i="200"/>
  <c r="N47" i="200"/>
  <c r="L47" i="200"/>
  <c r="K47" i="200"/>
  <c r="H47" i="200"/>
  <c r="F47" i="200"/>
  <c r="P47" i="200" s="1"/>
  <c r="E47" i="200"/>
  <c r="O46" i="200"/>
  <c r="N46" i="200"/>
  <c r="L46" i="200"/>
  <c r="K46" i="200"/>
  <c r="H46" i="200"/>
  <c r="F46" i="200"/>
  <c r="P46" i="200" s="1"/>
  <c r="E46" i="200"/>
  <c r="O45" i="200"/>
  <c r="N45" i="200"/>
  <c r="L45" i="200"/>
  <c r="K45" i="200"/>
  <c r="H45" i="200"/>
  <c r="F45" i="200"/>
  <c r="P45" i="200" s="1"/>
  <c r="E45" i="200"/>
  <c r="O44" i="200"/>
  <c r="N44" i="200"/>
  <c r="L44" i="200"/>
  <c r="K44" i="200"/>
  <c r="H44" i="200"/>
  <c r="F44" i="200"/>
  <c r="P44" i="200" s="1"/>
  <c r="E44" i="200"/>
  <c r="O43" i="200"/>
  <c r="N43" i="200"/>
  <c r="L43" i="200"/>
  <c r="K43" i="200"/>
  <c r="H43" i="200"/>
  <c r="F43" i="200"/>
  <c r="P43" i="200" s="1"/>
  <c r="E43" i="200"/>
  <c r="O42" i="200"/>
  <c r="N42" i="200"/>
  <c r="L42" i="200"/>
  <c r="K42" i="200"/>
  <c r="H42" i="200"/>
  <c r="F42" i="200"/>
  <c r="P42" i="200" s="1"/>
  <c r="E42" i="200"/>
  <c r="O41" i="200"/>
  <c r="N41" i="200"/>
  <c r="L41" i="200"/>
  <c r="K41" i="200"/>
  <c r="H41" i="200"/>
  <c r="E41" i="200"/>
  <c r="O40" i="200"/>
  <c r="N40" i="200"/>
  <c r="L40" i="200"/>
  <c r="K40" i="200"/>
  <c r="H40" i="200"/>
  <c r="F40" i="200"/>
  <c r="P40" i="200" s="1"/>
  <c r="E40" i="200"/>
  <c r="O39" i="200"/>
  <c r="N39" i="200"/>
  <c r="L39" i="200"/>
  <c r="K39" i="200"/>
  <c r="H39" i="200"/>
  <c r="F39" i="200"/>
  <c r="P39" i="200" s="1"/>
  <c r="E39" i="200"/>
  <c r="O38" i="200"/>
  <c r="N38" i="200"/>
  <c r="L38" i="200"/>
  <c r="K38" i="200"/>
  <c r="H38" i="200"/>
  <c r="F38" i="200"/>
  <c r="P38" i="200" s="1"/>
  <c r="E38" i="200"/>
  <c r="O37" i="200"/>
  <c r="N37" i="200"/>
  <c r="L37" i="200"/>
  <c r="K37" i="200"/>
  <c r="H37" i="200"/>
  <c r="F37" i="200"/>
  <c r="P37" i="200" s="1"/>
  <c r="E37" i="200"/>
  <c r="O36" i="200"/>
  <c r="N36" i="200"/>
  <c r="L36" i="200"/>
  <c r="K36" i="200"/>
  <c r="H36" i="200"/>
  <c r="F36" i="200"/>
  <c r="P36" i="200" s="1"/>
  <c r="E36" i="200"/>
  <c r="O34" i="200"/>
  <c r="N34" i="200"/>
  <c r="K34" i="200"/>
  <c r="H34" i="200"/>
  <c r="F34" i="200"/>
  <c r="P34" i="200" s="1"/>
  <c r="E34" i="200"/>
  <c r="O33" i="200"/>
  <c r="N33" i="200"/>
  <c r="K33" i="200"/>
  <c r="H33" i="200"/>
  <c r="F33" i="200"/>
  <c r="P33" i="200" s="1"/>
  <c r="E33" i="200"/>
  <c r="O32" i="200"/>
  <c r="N32" i="200"/>
  <c r="K32" i="200"/>
  <c r="H32" i="200"/>
  <c r="F32" i="200"/>
  <c r="P32" i="200" s="1"/>
  <c r="E32" i="200"/>
  <c r="O31" i="200"/>
  <c r="N31" i="200"/>
  <c r="K31" i="200"/>
  <c r="H31" i="200"/>
  <c r="F31" i="200"/>
  <c r="P31" i="200" s="1"/>
  <c r="E31" i="200"/>
  <c r="O30" i="200"/>
  <c r="N30" i="200"/>
  <c r="K30" i="200"/>
  <c r="H30" i="200"/>
  <c r="F30" i="200"/>
  <c r="P30" i="200" s="1"/>
  <c r="E30" i="200"/>
  <c r="P28" i="200"/>
  <c r="J28" i="200"/>
  <c r="D28" i="200"/>
  <c r="L28" i="200" s="1"/>
  <c r="M28" i="200" s="1"/>
  <c r="C28" i="200"/>
  <c r="H28" i="200" s="1"/>
  <c r="I28" i="200" s="1"/>
  <c r="O28" i="200" s="1"/>
  <c r="A28" i="200"/>
  <c r="P27" i="200"/>
  <c r="L27" i="200"/>
  <c r="M27" i="200" s="1"/>
  <c r="J27" i="200"/>
  <c r="D27" i="200"/>
  <c r="C27" i="200"/>
  <c r="H27" i="200" s="1"/>
  <c r="I27" i="200" s="1"/>
  <c r="O27" i="200" s="1"/>
  <c r="A27" i="200"/>
  <c r="P26" i="200"/>
  <c r="J26" i="200"/>
  <c r="E26" i="200" a="1"/>
  <c r="E26" i="200" s="1"/>
  <c r="D26" i="200"/>
  <c r="L26" i="200" s="1"/>
  <c r="M26" i="200" s="1"/>
  <c r="C26" i="200"/>
  <c r="H26" i="200" s="1"/>
  <c r="I26" i="200" s="1"/>
  <c r="O26" i="200" s="1"/>
  <c r="P25" i="200"/>
  <c r="J25" i="200"/>
  <c r="E25" i="200" a="1"/>
  <c r="E25" i="200" s="1"/>
  <c r="D25" i="200"/>
  <c r="L25" i="200" s="1"/>
  <c r="M25" i="200" s="1"/>
  <c r="C25" i="200"/>
  <c r="H25" i="200" s="1"/>
  <c r="I25" i="200" s="1"/>
  <c r="O25" i="200" s="1"/>
  <c r="P24" i="200"/>
  <c r="J24" i="200"/>
  <c r="E24" i="200" a="1"/>
  <c r="E24" i="200" s="1"/>
  <c r="D24" i="200"/>
  <c r="L24" i="200" s="1"/>
  <c r="M24" i="200" s="1"/>
  <c r="C24" i="200"/>
  <c r="H24" i="200" s="1"/>
  <c r="I24" i="200" s="1"/>
  <c r="O24" i="200" s="1"/>
  <c r="P23" i="200"/>
  <c r="J23" i="200"/>
  <c r="D23" i="200"/>
  <c r="L23" i="200" s="1"/>
  <c r="M23" i="200" s="1"/>
  <c r="C23" i="200"/>
  <c r="H23" i="200" s="1"/>
  <c r="I23" i="200" s="1"/>
  <c r="O23" i="200" s="1"/>
  <c r="P22" i="200"/>
  <c r="J22" i="200"/>
  <c r="D22" i="200"/>
  <c r="L22" i="200" s="1"/>
  <c r="M22" i="200" s="1"/>
  <c r="C22" i="200"/>
  <c r="H22" i="200" s="1"/>
  <c r="I22" i="200" s="1"/>
  <c r="O22" i="200" s="1"/>
  <c r="P21" i="200"/>
  <c r="J21" i="200"/>
  <c r="D21" i="200"/>
  <c r="L21" i="200" s="1"/>
  <c r="M21" i="200" s="1"/>
  <c r="C21" i="200"/>
  <c r="H21" i="200" s="1"/>
  <c r="I21" i="200" s="1"/>
  <c r="O21" i="200" s="1"/>
  <c r="P20" i="200"/>
  <c r="J20" i="200"/>
  <c r="D20" i="200"/>
  <c r="L20" i="200" s="1"/>
  <c r="M20" i="200" s="1"/>
  <c r="C20" i="200"/>
  <c r="H20" i="200" s="1"/>
  <c r="I20" i="200" s="1"/>
  <c r="O20" i="200" s="1"/>
  <c r="P19" i="200"/>
  <c r="J19" i="200"/>
  <c r="D19" i="200"/>
  <c r="L19" i="200" s="1"/>
  <c r="M19" i="200" s="1"/>
  <c r="C19" i="200"/>
  <c r="H19" i="200" s="1"/>
  <c r="P17" i="200"/>
  <c r="N17" i="200"/>
  <c r="E17" i="200"/>
  <c r="P16" i="200"/>
  <c r="N16" i="200"/>
  <c r="E16" i="200"/>
  <c r="N15" i="200"/>
  <c r="J15" i="200"/>
  <c r="J16" i="200" s="1"/>
  <c r="E15" i="200"/>
  <c r="P15" i="200" s="1"/>
  <c r="P14" i="200"/>
  <c r="J14" i="200"/>
  <c r="S13" i="200"/>
  <c r="P13" i="200"/>
  <c r="O13" i="200"/>
  <c r="P11" i="200"/>
  <c r="J11" i="200"/>
  <c r="P10" i="200"/>
  <c r="J10" i="200"/>
  <c r="E10" i="200"/>
  <c r="O9" i="200"/>
  <c r="S8" i="200"/>
  <c r="P8" i="200"/>
  <c r="J8" i="200"/>
  <c r="J9" i="200" s="1"/>
  <c r="L7" i="200"/>
  <c r="F7" i="200"/>
  <c r="X6" i="200"/>
  <c r="O92" i="200" s="1"/>
  <c r="V6" i="200"/>
  <c r="U6" i="200"/>
  <c r="T6" i="200"/>
  <c r="R6" i="200"/>
  <c r="P5" i="200"/>
  <c r="N5" i="200"/>
  <c r="M5" i="200"/>
  <c r="K5" i="200"/>
  <c r="J5" i="200"/>
  <c r="J13" i="200" s="1"/>
  <c r="N4" i="200"/>
  <c r="M4" i="200"/>
  <c r="J4" i="200"/>
  <c r="M11" i="200" s="1"/>
  <c r="S6" i="200" s="1"/>
  <c r="F4" i="200"/>
  <c r="E4" i="200"/>
  <c r="E22" i="200" s="1" a="1"/>
  <c r="E22" i="200" s="1"/>
  <c r="P90" i="199"/>
  <c r="O90" i="199"/>
  <c r="K90" i="199"/>
  <c r="I90" i="199"/>
  <c r="G90" i="199"/>
  <c r="P89" i="199"/>
  <c r="O89" i="199"/>
  <c r="K89" i="199"/>
  <c r="I89" i="199"/>
  <c r="G89" i="199"/>
  <c r="P88" i="199"/>
  <c r="O88" i="199"/>
  <c r="K88" i="199"/>
  <c r="I88" i="199"/>
  <c r="G88" i="199"/>
  <c r="P87" i="199"/>
  <c r="O87" i="199"/>
  <c r="K87" i="199"/>
  <c r="I87" i="199"/>
  <c r="G87" i="199"/>
  <c r="P86" i="199"/>
  <c r="O86" i="199"/>
  <c r="K86" i="199"/>
  <c r="I86" i="199"/>
  <c r="G86" i="199"/>
  <c r="P85" i="199"/>
  <c r="O85" i="199"/>
  <c r="K85" i="199"/>
  <c r="I85" i="199"/>
  <c r="G85" i="199"/>
  <c r="P84" i="199"/>
  <c r="O84" i="199"/>
  <c r="K84" i="199"/>
  <c r="I84" i="199"/>
  <c r="G84" i="199"/>
  <c r="P83" i="199"/>
  <c r="O83" i="199"/>
  <c r="K83" i="199"/>
  <c r="I83" i="199"/>
  <c r="G83" i="199"/>
  <c r="P82" i="199"/>
  <c r="O82" i="199"/>
  <c r="K82" i="199"/>
  <c r="I82" i="199"/>
  <c r="G82" i="199"/>
  <c r="J67" i="199" s="1"/>
  <c r="P81" i="199"/>
  <c r="O81" i="199"/>
  <c r="K81" i="199"/>
  <c r="I81" i="199"/>
  <c r="G81" i="199"/>
  <c r="P80" i="199"/>
  <c r="O80" i="199"/>
  <c r="K80" i="199"/>
  <c r="I80" i="199"/>
  <c r="G80" i="199"/>
  <c r="P79" i="199"/>
  <c r="O79" i="199"/>
  <c r="K79" i="199"/>
  <c r="I79" i="199"/>
  <c r="G79" i="199"/>
  <c r="P78" i="199"/>
  <c r="O78" i="199"/>
  <c r="K78" i="199"/>
  <c r="I78" i="199"/>
  <c r="G78" i="199"/>
  <c r="P77" i="199"/>
  <c r="O77" i="199"/>
  <c r="K77" i="199"/>
  <c r="I77" i="199"/>
  <c r="G77" i="199"/>
  <c r="P76" i="199"/>
  <c r="O76" i="199"/>
  <c r="K76" i="199"/>
  <c r="I76" i="199"/>
  <c r="G76" i="199"/>
  <c r="P75" i="199"/>
  <c r="O75" i="199"/>
  <c r="K75" i="199"/>
  <c r="I75" i="199"/>
  <c r="G75" i="199"/>
  <c r="P74" i="199"/>
  <c r="O74" i="199"/>
  <c r="K74" i="199"/>
  <c r="I74" i="199"/>
  <c r="G74" i="199"/>
  <c r="P73" i="199"/>
  <c r="K73" i="199"/>
  <c r="I73" i="199"/>
  <c r="G73" i="199"/>
  <c r="P71" i="199"/>
  <c r="O71" i="199"/>
  <c r="K71" i="199"/>
  <c r="G71" i="199"/>
  <c r="P70" i="199"/>
  <c r="O70" i="199"/>
  <c r="N70" i="199"/>
  <c r="K70" i="199"/>
  <c r="G70" i="199"/>
  <c r="P69" i="199"/>
  <c r="O69" i="199"/>
  <c r="N69" i="199"/>
  <c r="K69" i="199"/>
  <c r="G69" i="199"/>
  <c r="N67" i="199"/>
  <c r="H66" i="199"/>
  <c r="S12" i="199" s="1"/>
  <c r="F66" i="199" a="1"/>
  <c r="F66" i="199" s="1"/>
  <c r="P65" i="199"/>
  <c r="L65" i="199"/>
  <c r="L66" i="199" s="1"/>
  <c r="L67" i="199" s="1"/>
  <c r="K65" i="199"/>
  <c r="E65" i="199"/>
  <c r="O64" i="199"/>
  <c r="M64" i="199"/>
  <c r="L64" i="199"/>
  <c r="P64" i="199" s="1"/>
  <c r="K64" i="199"/>
  <c r="J64" i="199"/>
  <c r="H64" i="199"/>
  <c r="I64" i="199" s="1"/>
  <c r="E64" i="199"/>
  <c r="E57" i="199"/>
  <c r="P57" i="199" s="1"/>
  <c r="P56" i="199"/>
  <c r="O56" i="199"/>
  <c r="N56" i="199"/>
  <c r="L56" i="199"/>
  <c r="K56" i="199"/>
  <c r="H56" i="199"/>
  <c r="F56" i="199"/>
  <c r="E56" i="199"/>
  <c r="O55" i="199"/>
  <c r="N55" i="199"/>
  <c r="L55" i="199"/>
  <c r="K55" i="199"/>
  <c r="H55" i="199"/>
  <c r="F55" i="199"/>
  <c r="P55" i="199" s="1"/>
  <c r="E55" i="199"/>
  <c r="O54" i="199"/>
  <c r="N54" i="199"/>
  <c r="L54" i="199"/>
  <c r="K54" i="199"/>
  <c r="H54" i="199"/>
  <c r="F54" i="199"/>
  <c r="P54" i="199" s="1"/>
  <c r="E54" i="199"/>
  <c r="O53" i="199"/>
  <c r="N53" i="199"/>
  <c r="L53" i="199"/>
  <c r="K53" i="199"/>
  <c r="H53" i="199"/>
  <c r="F53" i="199"/>
  <c r="P53" i="199" s="1"/>
  <c r="E53" i="199"/>
  <c r="O52" i="199"/>
  <c r="N52" i="199"/>
  <c r="L52" i="199"/>
  <c r="K52" i="199"/>
  <c r="H52" i="199"/>
  <c r="F52" i="199"/>
  <c r="P52" i="199" s="1"/>
  <c r="E52" i="199"/>
  <c r="O51" i="199"/>
  <c r="N51" i="199"/>
  <c r="L51" i="199"/>
  <c r="K51" i="199"/>
  <c r="H51" i="199"/>
  <c r="F51" i="199"/>
  <c r="P51" i="199" s="1"/>
  <c r="E51" i="199"/>
  <c r="O50" i="199"/>
  <c r="N50" i="199"/>
  <c r="L50" i="199"/>
  <c r="K50" i="199"/>
  <c r="H50" i="199"/>
  <c r="F50" i="199"/>
  <c r="P50" i="199" s="1"/>
  <c r="E50" i="199"/>
  <c r="O49" i="199"/>
  <c r="N49" i="199"/>
  <c r="L49" i="199"/>
  <c r="K49" i="199"/>
  <c r="H49" i="199"/>
  <c r="F49" i="199"/>
  <c r="P49" i="199" s="1"/>
  <c r="E49" i="199"/>
  <c r="O48" i="199"/>
  <c r="N48" i="199"/>
  <c r="L48" i="199"/>
  <c r="K48" i="199"/>
  <c r="H48" i="199"/>
  <c r="F48" i="199"/>
  <c r="P48" i="199" s="1"/>
  <c r="E48" i="199"/>
  <c r="O47" i="199"/>
  <c r="N47" i="199"/>
  <c r="L47" i="199"/>
  <c r="K47" i="199"/>
  <c r="H47" i="199"/>
  <c r="F47" i="199"/>
  <c r="P47" i="199" s="1"/>
  <c r="E47" i="199"/>
  <c r="O46" i="199"/>
  <c r="N46" i="199"/>
  <c r="L46" i="199"/>
  <c r="K46" i="199"/>
  <c r="H46" i="199"/>
  <c r="F46" i="199"/>
  <c r="P46" i="199" s="1"/>
  <c r="E46" i="199"/>
  <c r="O45" i="199"/>
  <c r="N45" i="199"/>
  <c r="L45" i="199"/>
  <c r="K45" i="199"/>
  <c r="H45" i="199"/>
  <c r="F45" i="199"/>
  <c r="P45" i="199" s="1"/>
  <c r="E45" i="199"/>
  <c r="O44" i="199"/>
  <c r="N44" i="199"/>
  <c r="L44" i="199"/>
  <c r="K44" i="199"/>
  <c r="H44" i="199"/>
  <c r="F44" i="199"/>
  <c r="P44" i="199" s="1"/>
  <c r="E44" i="199"/>
  <c r="O43" i="199"/>
  <c r="N43" i="199"/>
  <c r="L43" i="199"/>
  <c r="K43" i="199"/>
  <c r="H43" i="199"/>
  <c r="F43" i="199"/>
  <c r="P43" i="199" s="1"/>
  <c r="E43" i="199"/>
  <c r="O42" i="199"/>
  <c r="N42" i="199"/>
  <c r="L42" i="199"/>
  <c r="K42" i="199"/>
  <c r="H42" i="199"/>
  <c r="F42" i="199"/>
  <c r="P42" i="199" s="1"/>
  <c r="E42" i="199"/>
  <c r="O41" i="199"/>
  <c r="N41" i="199"/>
  <c r="L41" i="199"/>
  <c r="K41" i="199"/>
  <c r="H41" i="199"/>
  <c r="E41" i="199"/>
  <c r="O40" i="199"/>
  <c r="N40" i="199"/>
  <c r="L40" i="199"/>
  <c r="K40" i="199"/>
  <c r="H40" i="199"/>
  <c r="F40" i="199"/>
  <c r="P40" i="199" s="1"/>
  <c r="E40" i="199"/>
  <c r="O39" i="199"/>
  <c r="N39" i="199"/>
  <c r="L39" i="199"/>
  <c r="K39" i="199"/>
  <c r="H39" i="199"/>
  <c r="F39" i="199"/>
  <c r="P39" i="199" s="1"/>
  <c r="E39" i="199"/>
  <c r="O38" i="199"/>
  <c r="N38" i="199"/>
  <c r="L38" i="199"/>
  <c r="K38" i="199"/>
  <c r="H38" i="199"/>
  <c r="F38" i="199"/>
  <c r="P38" i="199" s="1"/>
  <c r="E38" i="199"/>
  <c r="O37" i="199"/>
  <c r="N37" i="199"/>
  <c r="L37" i="199"/>
  <c r="K37" i="199"/>
  <c r="H37" i="199"/>
  <c r="F37" i="199"/>
  <c r="P37" i="199" s="1"/>
  <c r="E37" i="199"/>
  <c r="O36" i="199"/>
  <c r="N36" i="199"/>
  <c r="L36" i="199"/>
  <c r="K36" i="199"/>
  <c r="H36" i="199"/>
  <c r="F36" i="199"/>
  <c r="P36" i="199" s="1"/>
  <c r="E36" i="199"/>
  <c r="O34" i="199"/>
  <c r="N34" i="199"/>
  <c r="K34" i="199"/>
  <c r="H34" i="199"/>
  <c r="F34" i="199"/>
  <c r="P34" i="199" s="1"/>
  <c r="E34" i="199"/>
  <c r="O33" i="199"/>
  <c r="N33" i="199"/>
  <c r="K33" i="199"/>
  <c r="H33" i="199"/>
  <c r="F33" i="199"/>
  <c r="P33" i="199" s="1"/>
  <c r="E33" i="199"/>
  <c r="O32" i="199"/>
  <c r="N32" i="199"/>
  <c r="K32" i="199"/>
  <c r="H32" i="199"/>
  <c r="F32" i="199"/>
  <c r="P32" i="199" s="1"/>
  <c r="E32" i="199"/>
  <c r="O31" i="199"/>
  <c r="N31" i="199"/>
  <c r="K31" i="199"/>
  <c r="H31" i="199"/>
  <c r="F31" i="199"/>
  <c r="P31" i="199" s="1"/>
  <c r="E31" i="199"/>
  <c r="O30" i="199"/>
  <c r="N30" i="199"/>
  <c r="K30" i="199"/>
  <c r="H30" i="199"/>
  <c r="F30" i="199"/>
  <c r="P30" i="199" s="1"/>
  <c r="E30" i="199"/>
  <c r="P28" i="199"/>
  <c r="J28" i="199"/>
  <c r="D28" i="199"/>
  <c r="L28" i="199" s="1"/>
  <c r="M28" i="199" s="1"/>
  <c r="C28" i="199"/>
  <c r="H28" i="199" s="1"/>
  <c r="I28" i="199" s="1"/>
  <c r="O28" i="199" s="1"/>
  <c r="A28" i="199"/>
  <c r="P27" i="199"/>
  <c r="L27" i="199"/>
  <c r="M27" i="199" s="1"/>
  <c r="J27" i="199"/>
  <c r="D27" i="199"/>
  <c r="C27" i="199"/>
  <c r="H27" i="199" s="1"/>
  <c r="I27" i="199" s="1"/>
  <c r="O27" i="199" s="1"/>
  <c r="A27" i="199"/>
  <c r="P26" i="199"/>
  <c r="J26" i="199"/>
  <c r="E26" i="199"/>
  <c r="E26" i="199" a="1"/>
  <c r="D26" i="199"/>
  <c r="L26" i="199" s="1"/>
  <c r="M26" i="199" s="1"/>
  <c r="C26" i="199"/>
  <c r="H26" i="199" s="1"/>
  <c r="I26" i="199" s="1"/>
  <c r="O26" i="199" s="1"/>
  <c r="P25" i="199"/>
  <c r="J25" i="199"/>
  <c r="E25" i="199" a="1"/>
  <c r="E25" i="199" s="1"/>
  <c r="D25" i="199"/>
  <c r="L25" i="199" s="1"/>
  <c r="M25" i="199" s="1"/>
  <c r="C25" i="199"/>
  <c r="H25" i="199" s="1"/>
  <c r="I25" i="199" s="1"/>
  <c r="O25" i="199" s="1"/>
  <c r="P24" i="199"/>
  <c r="J24" i="199"/>
  <c r="E24" i="199"/>
  <c r="E24" i="199" a="1"/>
  <c r="D24" i="199"/>
  <c r="L24" i="199" s="1"/>
  <c r="M24" i="199" s="1"/>
  <c r="C24" i="199"/>
  <c r="H24" i="199" s="1"/>
  <c r="I24" i="199" s="1"/>
  <c r="O24" i="199" s="1"/>
  <c r="P23" i="199"/>
  <c r="J23" i="199"/>
  <c r="D23" i="199"/>
  <c r="L23" i="199" s="1"/>
  <c r="M23" i="199" s="1"/>
  <c r="C23" i="199"/>
  <c r="H23" i="199" s="1"/>
  <c r="I23" i="199" s="1"/>
  <c r="O23" i="199" s="1"/>
  <c r="P22" i="199"/>
  <c r="J22" i="199"/>
  <c r="D22" i="199"/>
  <c r="L22" i="199" s="1"/>
  <c r="M22" i="199" s="1"/>
  <c r="C22" i="199"/>
  <c r="H22" i="199" s="1"/>
  <c r="I22" i="199" s="1"/>
  <c r="O22" i="199" s="1"/>
  <c r="P21" i="199"/>
  <c r="J21" i="199"/>
  <c r="D21" i="199"/>
  <c r="L21" i="199" s="1"/>
  <c r="M21" i="199" s="1"/>
  <c r="C21" i="199"/>
  <c r="H21" i="199" s="1"/>
  <c r="I21" i="199" s="1"/>
  <c r="O21" i="199" s="1"/>
  <c r="P20" i="199"/>
  <c r="J20" i="199"/>
  <c r="D20" i="199"/>
  <c r="L20" i="199" s="1"/>
  <c r="M20" i="199" s="1"/>
  <c r="C20" i="199"/>
  <c r="H20" i="199" s="1"/>
  <c r="I20" i="199" s="1"/>
  <c r="O20" i="199" s="1"/>
  <c r="P19" i="199"/>
  <c r="J19" i="199"/>
  <c r="D19" i="199"/>
  <c r="L19" i="199" s="1"/>
  <c r="M19" i="199" s="1"/>
  <c r="C19" i="199"/>
  <c r="H19" i="199" s="1"/>
  <c r="P17" i="199"/>
  <c r="N17" i="199"/>
  <c r="E17" i="199"/>
  <c r="P16" i="199"/>
  <c r="N16" i="199"/>
  <c r="E16" i="199"/>
  <c r="P15" i="199"/>
  <c r="N15" i="199"/>
  <c r="J15" i="199"/>
  <c r="J16" i="199" s="1"/>
  <c r="E15" i="199"/>
  <c r="P14" i="199"/>
  <c r="J14" i="199"/>
  <c r="S13" i="199"/>
  <c r="P13" i="199"/>
  <c r="O13" i="199"/>
  <c r="P11" i="199"/>
  <c r="J11" i="199"/>
  <c r="P10" i="199"/>
  <c r="J10" i="199"/>
  <c r="M11" i="199" s="1"/>
  <c r="S6" i="199" s="1"/>
  <c r="E10" i="199"/>
  <c r="O9" i="199"/>
  <c r="S8" i="199"/>
  <c r="P8" i="199"/>
  <c r="J8" i="199"/>
  <c r="J9" i="199" s="1"/>
  <c r="L7" i="199"/>
  <c r="F7" i="199"/>
  <c r="X6" i="199"/>
  <c r="O92" i="199" s="1"/>
  <c r="V6" i="199"/>
  <c r="U6" i="199"/>
  <c r="T6" i="199"/>
  <c r="R6" i="199"/>
  <c r="P5" i="199"/>
  <c r="N5" i="199"/>
  <c r="M5" i="199"/>
  <c r="K5" i="199"/>
  <c r="J5" i="199"/>
  <c r="J13" i="199" s="1"/>
  <c r="N4" i="199"/>
  <c r="M4" i="199"/>
  <c r="J4" i="199"/>
  <c r="F4" i="199"/>
  <c r="E4" i="199"/>
  <c r="E9" i="199" s="1"/>
  <c r="P9" i="199" s="1"/>
  <c r="P90" i="198"/>
  <c r="O90" i="198"/>
  <c r="K90" i="198"/>
  <c r="I90" i="198"/>
  <c r="G90" i="198"/>
  <c r="P89" i="198"/>
  <c r="O89" i="198"/>
  <c r="K89" i="198"/>
  <c r="I89" i="198"/>
  <c r="G89" i="198"/>
  <c r="P88" i="198"/>
  <c r="O88" i="198"/>
  <c r="K88" i="198"/>
  <c r="I88" i="198"/>
  <c r="G88" i="198"/>
  <c r="P87" i="198"/>
  <c r="O87" i="198"/>
  <c r="K87" i="198"/>
  <c r="I87" i="198"/>
  <c r="G87" i="198"/>
  <c r="P86" i="198"/>
  <c r="O86" i="198"/>
  <c r="K86" i="198"/>
  <c r="I86" i="198"/>
  <c r="G86" i="198"/>
  <c r="P85" i="198"/>
  <c r="O85" i="198"/>
  <c r="K85" i="198"/>
  <c r="I85" i="198"/>
  <c r="G85" i="198"/>
  <c r="P84" i="198"/>
  <c r="O84" i="198"/>
  <c r="K84" i="198"/>
  <c r="I84" i="198"/>
  <c r="G84" i="198"/>
  <c r="P83" i="198"/>
  <c r="O83" i="198"/>
  <c r="K83" i="198"/>
  <c r="I83" i="198"/>
  <c r="G83" i="198"/>
  <c r="P82" i="198"/>
  <c r="O82" i="198"/>
  <c r="K82" i="198"/>
  <c r="I82" i="198"/>
  <c r="G82" i="198"/>
  <c r="P81" i="198"/>
  <c r="O81" i="198"/>
  <c r="K81" i="198"/>
  <c r="I81" i="198"/>
  <c r="G81" i="198"/>
  <c r="P80" i="198"/>
  <c r="O80" i="198"/>
  <c r="K80" i="198"/>
  <c r="I80" i="198"/>
  <c r="G80" i="198"/>
  <c r="P79" i="198"/>
  <c r="O79" i="198"/>
  <c r="K79" i="198"/>
  <c r="I79" i="198"/>
  <c r="G79" i="198"/>
  <c r="P78" i="198"/>
  <c r="O78" i="198"/>
  <c r="K78" i="198"/>
  <c r="I78" i="198"/>
  <c r="G78" i="198"/>
  <c r="P77" i="198"/>
  <c r="O77" i="198"/>
  <c r="K77" i="198"/>
  <c r="I77" i="198"/>
  <c r="G77" i="198"/>
  <c r="P76" i="198"/>
  <c r="O76" i="198"/>
  <c r="K76" i="198"/>
  <c r="I76" i="198"/>
  <c r="G76" i="198"/>
  <c r="P75" i="198"/>
  <c r="O75" i="198"/>
  <c r="K75" i="198"/>
  <c r="I75" i="198"/>
  <c r="G75" i="198"/>
  <c r="P74" i="198"/>
  <c r="O74" i="198"/>
  <c r="K74" i="198"/>
  <c r="I74" i="198"/>
  <c r="G74" i="198"/>
  <c r="P73" i="198"/>
  <c r="K73" i="198"/>
  <c r="I73" i="198"/>
  <c r="G73" i="198"/>
  <c r="J67" i="198" s="1"/>
  <c r="P71" i="198"/>
  <c r="O71" i="198"/>
  <c r="K71" i="198"/>
  <c r="G71" i="198"/>
  <c r="P70" i="198"/>
  <c r="O70" i="198"/>
  <c r="N70" i="198"/>
  <c r="K70" i="198"/>
  <c r="G70" i="198"/>
  <c r="P69" i="198"/>
  <c r="O69" i="198"/>
  <c r="N69" i="198"/>
  <c r="K69" i="198"/>
  <c r="G69" i="198"/>
  <c r="N67" i="198"/>
  <c r="H66" i="198"/>
  <c r="P66" i="198" s="1" a="1"/>
  <c r="P66" i="198" s="1"/>
  <c r="F66" i="198" a="1"/>
  <c r="F66" i="198" s="1"/>
  <c r="P65" i="198"/>
  <c r="L65" i="198"/>
  <c r="L66" i="198" s="1"/>
  <c r="L67" i="198" s="1"/>
  <c r="K65" i="198"/>
  <c r="E65" i="198"/>
  <c r="O64" i="198"/>
  <c r="M64" i="198"/>
  <c r="L64" i="198"/>
  <c r="P64" i="198" s="1"/>
  <c r="K64" i="198"/>
  <c r="J64" i="198"/>
  <c r="H64" i="198"/>
  <c r="I64" i="198" s="1"/>
  <c r="E64" i="198"/>
  <c r="E57" i="198"/>
  <c r="P57" i="198" s="1"/>
  <c r="O56" i="198"/>
  <c r="N56" i="198"/>
  <c r="L56" i="198"/>
  <c r="K56" i="198"/>
  <c r="H56" i="198"/>
  <c r="F56" i="198"/>
  <c r="P56" i="198" s="1"/>
  <c r="E56" i="198"/>
  <c r="O55" i="198"/>
  <c r="N55" i="198"/>
  <c r="L55" i="198"/>
  <c r="K55" i="198"/>
  <c r="H55" i="198"/>
  <c r="F55" i="198"/>
  <c r="P55" i="198" s="1"/>
  <c r="E55" i="198"/>
  <c r="O54" i="198"/>
  <c r="N54" i="198"/>
  <c r="L54" i="198"/>
  <c r="K54" i="198"/>
  <c r="H54" i="198"/>
  <c r="F54" i="198"/>
  <c r="P54" i="198" s="1"/>
  <c r="E54" i="198"/>
  <c r="O53" i="198"/>
  <c r="N53" i="198"/>
  <c r="L53" i="198"/>
  <c r="K53" i="198"/>
  <c r="H53" i="198"/>
  <c r="F53" i="198"/>
  <c r="P53" i="198" s="1"/>
  <c r="E53" i="198"/>
  <c r="O52" i="198"/>
  <c r="N52" i="198"/>
  <c r="L52" i="198"/>
  <c r="K52" i="198"/>
  <c r="H52" i="198"/>
  <c r="F52" i="198"/>
  <c r="P52" i="198" s="1"/>
  <c r="E52" i="198"/>
  <c r="O51" i="198"/>
  <c r="N51" i="198"/>
  <c r="L51" i="198"/>
  <c r="K51" i="198"/>
  <c r="H51" i="198"/>
  <c r="F51" i="198"/>
  <c r="P51" i="198" s="1"/>
  <c r="E51" i="198"/>
  <c r="O50" i="198"/>
  <c r="N50" i="198"/>
  <c r="L50" i="198"/>
  <c r="K50" i="198"/>
  <c r="H50" i="198"/>
  <c r="F50" i="198"/>
  <c r="P50" i="198" s="1"/>
  <c r="E50" i="198"/>
  <c r="O49" i="198"/>
  <c r="N49" i="198"/>
  <c r="L49" i="198"/>
  <c r="K49" i="198"/>
  <c r="H49" i="198"/>
  <c r="F49" i="198"/>
  <c r="P49" i="198" s="1"/>
  <c r="E49" i="198"/>
  <c r="O48" i="198"/>
  <c r="N48" i="198"/>
  <c r="L48" i="198"/>
  <c r="K48" i="198"/>
  <c r="H48" i="198"/>
  <c r="F48" i="198"/>
  <c r="P48" i="198" s="1"/>
  <c r="E48" i="198"/>
  <c r="O47" i="198"/>
  <c r="N47" i="198"/>
  <c r="L47" i="198"/>
  <c r="K47" i="198"/>
  <c r="H47" i="198"/>
  <c r="F47" i="198"/>
  <c r="P47" i="198" s="1"/>
  <c r="E47" i="198"/>
  <c r="O46" i="198"/>
  <c r="N46" i="198"/>
  <c r="L46" i="198"/>
  <c r="K46" i="198"/>
  <c r="H46" i="198"/>
  <c r="F46" i="198"/>
  <c r="P46" i="198" s="1"/>
  <c r="E46" i="198"/>
  <c r="O45" i="198"/>
  <c r="N45" i="198"/>
  <c r="L45" i="198"/>
  <c r="K45" i="198"/>
  <c r="H45" i="198"/>
  <c r="F45" i="198"/>
  <c r="P45" i="198" s="1"/>
  <c r="E45" i="198"/>
  <c r="O44" i="198"/>
  <c r="N44" i="198"/>
  <c r="L44" i="198"/>
  <c r="K44" i="198"/>
  <c r="H44" i="198"/>
  <c r="F44" i="198"/>
  <c r="P44" i="198" s="1"/>
  <c r="E44" i="198"/>
  <c r="O43" i="198"/>
  <c r="N43" i="198"/>
  <c r="L43" i="198"/>
  <c r="K43" i="198"/>
  <c r="H43" i="198"/>
  <c r="F43" i="198"/>
  <c r="P43" i="198" s="1"/>
  <c r="E43" i="198"/>
  <c r="O42" i="198"/>
  <c r="N42" i="198"/>
  <c r="L42" i="198"/>
  <c r="K42" i="198"/>
  <c r="H42" i="198"/>
  <c r="F42" i="198"/>
  <c r="P42" i="198" s="1"/>
  <c r="E42" i="198"/>
  <c r="O41" i="198"/>
  <c r="N41" i="198"/>
  <c r="L41" i="198"/>
  <c r="K41" i="198"/>
  <c r="H41" i="198"/>
  <c r="F41" i="198"/>
  <c r="P41" i="198" s="1"/>
  <c r="E41" i="198"/>
  <c r="O40" i="198"/>
  <c r="N40" i="198"/>
  <c r="L40" i="198"/>
  <c r="K40" i="198"/>
  <c r="H40" i="198"/>
  <c r="F40" i="198"/>
  <c r="P40" i="198" s="1"/>
  <c r="E40" i="198"/>
  <c r="O39" i="198"/>
  <c r="N39" i="198"/>
  <c r="L39" i="198"/>
  <c r="K39" i="198"/>
  <c r="H39" i="198"/>
  <c r="F39" i="198"/>
  <c r="P39" i="198" s="1"/>
  <c r="E39" i="198"/>
  <c r="O38" i="198"/>
  <c r="N38" i="198"/>
  <c r="L38" i="198"/>
  <c r="K38" i="198"/>
  <c r="H38" i="198"/>
  <c r="F38" i="198"/>
  <c r="P38" i="198" s="1"/>
  <c r="E38" i="198"/>
  <c r="O37" i="198"/>
  <c r="N37" i="198"/>
  <c r="L37" i="198"/>
  <c r="K37" i="198"/>
  <c r="H37" i="198"/>
  <c r="F37" i="198"/>
  <c r="P37" i="198" s="1"/>
  <c r="E37" i="198"/>
  <c r="O36" i="198"/>
  <c r="N36" i="198"/>
  <c r="L36" i="198"/>
  <c r="K36" i="198"/>
  <c r="H36" i="198"/>
  <c r="F36" i="198"/>
  <c r="P36" i="198" s="1"/>
  <c r="E36" i="198"/>
  <c r="O34" i="198"/>
  <c r="N34" i="198"/>
  <c r="K34" i="198"/>
  <c r="H34" i="198"/>
  <c r="F34" i="198"/>
  <c r="P34" i="198" s="1"/>
  <c r="E34" i="198"/>
  <c r="O33" i="198"/>
  <c r="N33" i="198"/>
  <c r="K33" i="198"/>
  <c r="H33" i="198"/>
  <c r="F33" i="198"/>
  <c r="P33" i="198" s="1"/>
  <c r="E33" i="198"/>
  <c r="O32" i="198"/>
  <c r="N32" i="198"/>
  <c r="K32" i="198"/>
  <c r="H32" i="198"/>
  <c r="F32" i="198"/>
  <c r="P32" i="198" s="1"/>
  <c r="E32" i="198"/>
  <c r="O31" i="198"/>
  <c r="N31" i="198"/>
  <c r="K31" i="198"/>
  <c r="H31" i="198"/>
  <c r="F31" i="198"/>
  <c r="P31" i="198" s="1"/>
  <c r="E31" i="198"/>
  <c r="O30" i="198"/>
  <c r="N30" i="198"/>
  <c r="K30" i="198"/>
  <c r="H30" i="198"/>
  <c r="F30" i="198"/>
  <c r="P30" i="198" s="1"/>
  <c r="E30" i="198"/>
  <c r="P28" i="198"/>
  <c r="J28" i="198"/>
  <c r="D28" i="198"/>
  <c r="L28" i="198" s="1"/>
  <c r="M28" i="198" s="1"/>
  <c r="C28" i="198"/>
  <c r="F28" i="198" s="1"/>
  <c r="A28" i="198"/>
  <c r="P27" i="198"/>
  <c r="J27" i="198"/>
  <c r="D27" i="198"/>
  <c r="L27" i="198" s="1"/>
  <c r="M27" i="198" s="1"/>
  <c r="C27" i="198"/>
  <c r="H27" i="198" s="1"/>
  <c r="I27" i="198" s="1"/>
  <c r="O27" i="198" s="1"/>
  <c r="A27" i="198"/>
  <c r="P26" i="198"/>
  <c r="J26" i="198"/>
  <c r="E26" i="198" a="1"/>
  <c r="E26" i="198" s="1"/>
  <c r="D26" i="198"/>
  <c r="L26" i="198" s="1"/>
  <c r="M26" i="198" s="1"/>
  <c r="C26" i="198"/>
  <c r="H26" i="198" s="1"/>
  <c r="I26" i="198" s="1"/>
  <c r="O26" i="198" s="1"/>
  <c r="P25" i="198"/>
  <c r="J25" i="198"/>
  <c r="E25" i="198" a="1"/>
  <c r="E25" i="198" s="1"/>
  <c r="D25" i="198"/>
  <c r="L25" i="198" s="1"/>
  <c r="M25" i="198" s="1"/>
  <c r="C25" i="198"/>
  <c r="F25" i="198" s="1"/>
  <c r="P24" i="198"/>
  <c r="J24" i="198"/>
  <c r="E24" i="198" a="1"/>
  <c r="E24" i="198" s="1"/>
  <c r="D24" i="198"/>
  <c r="L24" i="198" s="1"/>
  <c r="M24" i="198" s="1"/>
  <c r="C24" i="198"/>
  <c r="F24" i="198" s="1"/>
  <c r="P23" i="198"/>
  <c r="J23" i="198"/>
  <c r="E23" i="198" a="1"/>
  <c r="E23" i="198" s="1"/>
  <c r="D23" i="198"/>
  <c r="L23" i="198" s="1"/>
  <c r="M23" i="198" s="1"/>
  <c r="C23" i="198"/>
  <c r="F23" i="198" s="1"/>
  <c r="P22" i="198"/>
  <c r="J22" i="198"/>
  <c r="D22" i="198"/>
  <c r="L22" i="198" s="1"/>
  <c r="M22" i="198" s="1"/>
  <c r="C22" i="198"/>
  <c r="H22" i="198" s="1"/>
  <c r="I22" i="198" s="1"/>
  <c r="O22" i="198" s="1"/>
  <c r="P21" i="198"/>
  <c r="J21" i="198"/>
  <c r="E21" i="198" a="1"/>
  <c r="E21" i="198" s="1"/>
  <c r="D21" i="198"/>
  <c r="L21" i="198" s="1"/>
  <c r="M21" i="198" s="1"/>
  <c r="C21" i="198"/>
  <c r="F21" i="198" s="1"/>
  <c r="P20" i="198"/>
  <c r="J20" i="198"/>
  <c r="D20" i="198"/>
  <c r="L20" i="198" s="1"/>
  <c r="M20" i="198" s="1"/>
  <c r="C20" i="198"/>
  <c r="H20" i="198" s="1"/>
  <c r="I20" i="198" s="1"/>
  <c r="O20" i="198" s="1"/>
  <c r="P19" i="198"/>
  <c r="J19" i="198"/>
  <c r="E19" i="198" a="1"/>
  <c r="E19" i="198" s="1"/>
  <c r="D19" i="198"/>
  <c r="L19" i="198" s="1"/>
  <c r="M19" i="198" s="1"/>
  <c r="C19" i="198"/>
  <c r="F19" i="198" s="1"/>
  <c r="P17" i="198"/>
  <c r="N17" i="198"/>
  <c r="E17" i="198"/>
  <c r="P16" i="198"/>
  <c r="N16" i="198"/>
  <c r="E16" i="198"/>
  <c r="N15" i="198"/>
  <c r="J15" i="198"/>
  <c r="J16" i="198" s="1"/>
  <c r="E15" i="198"/>
  <c r="P15" i="198" s="1"/>
  <c r="P14" i="198"/>
  <c r="J14" i="198"/>
  <c r="S13" i="198"/>
  <c r="P13" i="198"/>
  <c r="O13" i="198"/>
  <c r="J13" i="198"/>
  <c r="P11" i="198"/>
  <c r="J11" i="198"/>
  <c r="P10" i="198"/>
  <c r="J10" i="198"/>
  <c r="M11" i="198" s="1"/>
  <c r="S6" i="198" s="1"/>
  <c r="E10" i="198"/>
  <c r="O9" i="198"/>
  <c r="S8" i="198"/>
  <c r="P8" i="198"/>
  <c r="J8" i="198"/>
  <c r="J9" i="198" s="1"/>
  <c r="L7" i="198"/>
  <c r="F7" i="198"/>
  <c r="E7" i="198" a="1"/>
  <c r="E7" i="198" s="1"/>
  <c r="P7" i="198" s="1" a="1"/>
  <c r="P7" i="198" s="1"/>
  <c r="X6" i="198"/>
  <c r="O92" i="198" s="1"/>
  <c r="V6" i="198"/>
  <c r="U6" i="198"/>
  <c r="T6" i="198"/>
  <c r="R6" i="198"/>
  <c r="P5" i="198"/>
  <c r="N5" i="198"/>
  <c r="M5" i="198"/>
  <c r="K5" i="198"/>
  <c r="J5" i="198"/>
  <c r="N4" i="198"/>
  <c r="M4" i="198"/>
  <c r="J4" i="198"/>
  <c r="F4" i="198"/>
  <c r="E4" i="198"/>
  <c r="E9" i="198" s="1"/>
  <c r="P9" i="198" s="1"/>
  <c r="P90" i="197"/>
  <c r="O90" i="197"/>
  <c r="K90" i="197"/>
  <c r="I90" i="197"/>
  <c r="G90" i="197"/>
  <c r="P89" i="197"/>
  <c r="O89" i="197"/>
  <c r="K89" i="197"/>
  <c r="I89" i="197"/>
  <c r="G89" i="197"/>
  <c r="P88" i="197"/>
  <c r="O88" i="197"/>
  <c r="K88" i="197"/>
  <c r="I88" i="197"/>
  <c r="G88" i="197"/>
  <c r="P87" i="197"/>
  <c r="O87" i="197"/>
  <c r="K87" i="197"/>
  <c r="I87" i="197"/>
  <c r="G87" i="197"/>
  <c r="P86" i="197"/>
  <c r="O86" i="197"/>
  <c r="K86" i="197"/>
  <c r="I86" i="197"/>
  <c r="G86" i="197"/>
  <c r="P85" i="197"/>
  <c r="O85" i="197"/>
  <c r="K85" i="197"/>
  <c r="I85" i="197"/>
  <c r="G85" i="197"/>
  <c r="P84" i="197"/>
  <c r="O84" i="197"/>
  <c r="K84" i="197"/>
  <c r="I84" i="197"/>
  <c r="G84" i="197"/>
  <c r="P83" i="197"/>
  <c r="O83" i="197"/>
  <c r="K83" i="197"/>
  <c r="I83" i="197"/>
  <c r="G83" i="197"/>
  <c r="P82" i="197"/>
  <c r="O82" i="197"/>
  <c r="K82" i="197"/>
  <c r="I82" i="197"/>
  <c r="G82" i="197"/>
  <c r="P81" i="197"/>
  <c r="O81" i="197"/>
  <c r="K81" i="197"/>
  <c r="I81" i="197"/>
  <c r="G81" i="197"/>
  <c r="P80" i="197"/>
  <c r="O80" i="197"/>
  <c r="K80" i="197"/>
  <c r="I80" i="197"/>
  <c r="G80" i="197"/>
  <c r="P79" i="197"/>
  <c r="O79" i="197"/>
  <c r="K79" i="197"/>
  <c r="I79" i="197"/>
  <c r="G79" i="197"/>
  <c r="P78" i="197"/>
  <c r="O78" i="197"/>
  <c r="K78" i="197"/>
  <c r="I78" i="197"/>
  <c r="G78" i="197"/>
  <c r="P77" i="197"/>
  <c r="O77" i="197"/>
  <c r="K77" i="197"/>
  <c r="I77" i="197"/>
  <c r="G77" i="197"/>
  <c r="P76" i="197"/>
  <c r="O76" i="197"/>
  <c r="K76" i="197"/>
  <c r="I76" i="197"/>
  <c r="G76" i="197"/>
  <c r="P75" i="197"/>
  <c r="O75" i="197"/>
  <c r="K75" i="197"/>
  <c r="I75" i="197"/>
  <c r="G75" i="197"/>
  <c r="P74" i="197"/>
  <c r="O74" i="197"/>
  <c r="K74" i="197"/>
  <c r="I74" i="197"/>
  <c r="G74" i="197"/>
  <c r="P73" i="197"/>
  <c r="K73" i="197"/>
  <c r="I73" i="197"/>
  <c r="G73" i="197"/>
  <c r="J67" i="197" s="1"/>
  <c r="P71" i="197"/>
  <c r="O71" i="197"/>
  <c r="K71" i="197"/>
  <c r="G71" i="197"/>
  <c r="P70" i="197"/>
  <c r="O70" i="197"/>
  <c r="N70" i="197"/>
  <c r="K70" i="197"/>
  <c r="G70" i="197"/>
  <c r="P69" i="197"/>
  <c r="O69" i="197"/>
  <c r="N69" i="197"/>
  <c r="K69" i="197"/>
  <c r="G69" i="197"/>
  <c r="N67" i="197"/>
  <c r="H66" i="197"/>
  <c r="I66" i="197" s="1"/>
  <c r="O73" i="197" s="1"/>
  <c r="F66" i="197" a="1"/>
  <c r="F66" i="197" s="1"/>
  <c r="P65" i="197"/>
  <c r="P67" i="197" s="1"/>
  <c r="L65" i="197"/>
  <c r="L66" i="197" s="1"/>
  <c r="L67" i="197" s="1"/>
  <c r="K65" i="197"/>
  <c r="E65" i="197"/>
  <c r="P64" i="197"/>
  <c r="O64" i="197"/>
  <c r="M64" i="197"/>
  <c r="L64" i="197"/>
  <c r="K64" i="197"/>
  <c r="J64" i="197"/>
  <c r="H64" i="197"/>
  <c r="I64" i="197" s="1"/>
  <c r="E64" i="197"/>
  <c r="P57" i="197"/>
  <c r="E57" i="197"/>
  <c r="O56" i="197"/>
  <c r="N56" i="197"/>
  <c r="L56" i="197"/>
  <c r="K56" i="197"/>
  <c r="H56" i="197"/>
  <c r="F56" i="197"/>
  <c r="P56" i="197" s="1"/>
  <c r="E56" i="197"/>
  <c r="O55" i="197"/>
  <c r="N55" i="197"/>
  <c r="L55" i="197"/>
  <c r="K55" i="197"/>
  <c r="H55" i="197"/>
  <c r="F55" i="197"/>
  <c r="P55" i="197" s="1"/>
  <c r="E55" i="197"/>
  <c r="O54" i="197"/>
  <c r="N54" i="197"/>
  <c r="L54" i="197"/>
  <c r="K54" i="197"/>
  <c r="H54" i="197"/>
  <c r="F54" i="197"/>
  <c r="P54" i="197" s="1"/>
  <c r="E54" i="197"/>
  <c r="O53" i="197"/>
  <c r="N53" i="197"/>
  <c r="L53" i="197"/>
  <c r="K53" i="197"/>
  <c r="H53" i="197"/>
  <c r="F53" i="197"/>
  <c r="P53" i="197" s="1"/>
  <c r="E53" i="197"/>
  <c r="O52" i="197"/>
  <c r="N52" i="197"/>
  <c r="L52" i="197"/>
  <c r="K52" i="197"/>
  <c r="H52" i="197"/>
  <c r="F52" i="197"/>
  <c r="P52" i="197" s="1"/>
  <c r="E52" i="197"/>
  <c r="O51" i="197"/>
  <c r="N51" i="197"/>
  <c r="L51" i="197"/>
  <c r="K51" i="197"/>
  <c r="H51" i="197"/>
  <c r="F51" i="197"/>
  <c r="P51" i="197" s="1"/>
  <c r="E51" i="197"/>
  <c r="O50" i="197"/>
  <c r="N50" i="197"/>
  <c r="L50" i="197"/>
  <c r="K50" i="197"/>
  <c r="H50" i="197"/>
  <c r="F50" i="197"/>
  <c r="P50" i="197" s="1"/>
  <c r="E50" i="197"/>
  <c r="O49" i="197"/>
  <c r="N49" i="197"/>
  <c r="L49" i="197"/>
  <c r="K49" i="197"/>
  <c r="H49" i="197"/>
  <c r="F49" i="197"/>
  <c r="P49" i="197" s="1"/>
  <c r="E49" i="197"/>
  <c r="O48" i="197"/>
  <c r="N48" i="197"/>
  <c r="L48" i="197"/>
  <c r="K48" i="197"/>
  <c r="H48" i="197"/>
  <c r="F48" i="197"/>
  <c r="P48" i="197" s="1"/>
  <c r="E48" i="197"/>
  <c r="O47" i="197"/>
  <c r="N47" i="197"/>
  <c r="L47" i="197"/>
  <c r="K47" i="197"/>
  <c r="H47" i="197"/>
  <c r="F47" i="197"/>
  <c r="P47" i="197" s="1"/>
  <c r="E47" i="197"/>
  <c r="O46" i="197"/>
  <c r="N46" i="197"/>
  <c r="L46" i="197"/>
  <c r="K46" i="197"/>
  <c r="H46" i="197"/>
  <c r="F46" i="197"/>
  <c r="P46" i="197" s="1"/>
  <c r="E46" i="197"/>
  <c r="O45" i="197"/>
  <c r="N45" i="197"/>
  <c r="L45" i="197"/>
  <c r="K45" i="197"/>
  <c r="H45" i="197"/>
  <c r="F45" i="197"/>
  <c r="P45" i="197" s="1"/>
  <c r="E45" i="197"/>
  <c r="O44" i="197"/>
  <c r="N44" i="197"/>
  <c r="L44" i="197"/>
  <c r="K44" i="197"/>
  <c r="H44" i="197"/>
  <c r="F44" i="197"/>
  <c r="P44" i="197" s="1"/>
  <c r="E44" i="197"/>
  <c r="O43" i="197"/>
  <c r="N43" i="197"/>
  <c r="L43" i="197"/>
  <c r="K43" i="197"/>
  <c r="H43" i="197"/>
  <c r="F43" i="197"/>
  <c r="P43" i="197" s="1"/>
  <c r="E43" i="197"/>
  <c r="O42" i="197"/>
  <c r="N42" i="197"/>
  <c r="L42" i="197"/>
  <c r="K42" i="197"/>
  <c r="H42" i="197"/>
  <c r="F42" i="197"/>
  <c r="P42" i="197" s="1"/>
  <c r="E42" i="197"/>
  <c r="O41" i="197"/>
  <c r="N41" i="197"/>
  <c r="L41" i="197"/>
  <c r="K41" i="197"/>
  <c r="H41" i="197"/>
  <c r="F41" i="197"/>
  <c r="P41" i="197" s="1"/>
  <c r="E41" i="197"/>
  <c r="O40" i="197"/>
  <c r="N40" i="197"/>
  <c r="L40" i="197"/>
  <c r="K40" i="197"/>
  <c r="H40" i="197"/>
  <c r="F40" i="197"/>
  <c r="P40" i="197" s="1"/>
  <c r="E40" i="197"/>
  <c r="O39" i="197"/>
  <c r="N39" i="197"/>
  <c r="L39" i="197"/>
  <c r="K39" i="197"/>
  <c r="H39" i="197"/>
  <c r="F39" i="197"/>
  <c r="P39" i="197" s="1"/>
  <c r="E39" i="197"/>
  <c r="O38" i="197"/>
  <c r="N38" i="197"/>
  <c r="L38" i="197"/>
  <c r="K38" i="197"/>
  <c r="H38" i="197"/>
  <c r="F38" i="197"/>
  <c r="P38" i="197" s="1"/>
  <c r="E38" i="197"/>
  <c r="O37" i="197"/>
  <c r="N37" i="197"/>
  <c r="L37" i="197"/>
  <c r="K37" i="197"/>
  <c r="H37" i="197"/>
  <c r="F37" i="197"/>
  <c r="P37" i="197" s="1"/>
  <c r="E37" i="197"/>
  <c r="O36" i="197"/>
  <c r="N36" i="197"/>
  <c r="L36" i="197"/>
  <c r="K36" i="197"/>
  <c r="H36" i="197"/>
  <c r="F36" i="197"/>
  <c r="P36" i="197" s="1"/>
  <c r="E36" i="197"/>
  <c r="O34" i="197"/>
  <c r="N34" i="197"/>
  <c r="K34" i="197"/>
  <c r="H34" i="197"/>
  <c r="F34" i="197"/>
  <c r="P34" i="197" s="1"/>
  <c r="E34" i="197"/>
  <c r="O33" i="197"/>
  <c r="N33" i="197"/>
  <c r="K33" i="197"/>
  <c r="H33" i="197"/>
  <c r="F33" i="197"/>
  <c r="P33" i="197" s="1"/>
  <c r="E33" i="197"/>
  <c r="O32" i="197"/>
  <c r="N32" i="197"/>
  <c r="K32" i="197"/>
  <c r="H32" i="197"/>
  <c r="F32" i="197"/>
  <c r="P32" i="197" s="1"/>
  <c r="E32" i="197"/>
  <c r="O31" i="197"/>
  <c r="N31" i="197"/>
  <c r="K31" i="197"/>
  <c r="H31" i="197"/>
  <c r="F31" i="197"/>
  <c r="P31" i="197" s="1"/>
  <c r="E31" i="197"/>
  <c r="O30" i="197"/>
  <c r="N30" i="197"/>
  <c r="K30" i="197"/>
  <c r="H30" i="197"/>
  <c r="F30" i="197"/>
  <c r="P30" i="197" s="1"/>
  <c r="E30" i="197"/>
  <c r="P28" i="197"/>
  <c r="L28" i="197"/>
  <c r="M28" i="197" s="1"/>
  <c r="J28" i="197"/>
  <c r="F28" i="197"/>
  <c r="D28" i="197"/>
  <c r="C28" i="197"/>
  <c r="H28" i="197" s="1"/>
  <c r="I28" i="197" s="1"/>
  <c r="O28" i="197" s="1"/>
  <c r="A28" i="197"/>
  <c r="P27" i="197"/>
  <c r="J27" i="197"/>
  <c r="D27" i="197"/>
  <c r="L27" i="197" s="1"/>
  <c r="M27" i="197" s="1"/>
  <c r="C27" i="197"/>
  <c r="H27" i="197" s="1"/>
  <c r="I27" i="197" s="1"/>
  <c r="O27" i="197" s="1"/>
  <c r="A27" i="197"/>
  <c r="P26" i="197"/>
  <c r="L26" i="197"/>
  <c r="M26" i="197" s="1"/>
  <c r="J26" i="197"/>
  <c r="H26" i="197"/>
  <c r="I26" i="197" s="1"/>
  <c r="O26" i="197" s="1"/>
  <c r="E26" i="197" a="1"/>
  <c r="E26" i="197" s="1"/>
  <c r="D26" i="197"/>
  <c r="C26" i="197"/>
  <c r="F26" i="197" s="1"/>
  <c r="P25" i="197"/>
  <c r="J25" i="197"/>
  <c r="E25" i="197" a="1"/>
  <c r="E25" i="197" s="1"/>
  <c r="D25" i="197"/>
  <c r="L25" i="197" s="1"/>
  <c r="M25" i="197" s="1"/>
  <c r="C25" i="197"/>
  <c r="F25" i="197" s="1"/>
  <c r="P24" i="197"/>
  <c r="L24" i="197"/>
  <c r="M24" i="197" s="1"/>
  <c r="J24" i="197"/>
  <c r="H24" i="197"/>
  <c r="I24" i="197" s="1"/>
  <c r="O24" i="197" s="1"/>
  <c r="E24" i="197" a="1"/>
  <c r="E24" i="197" s="1"/>
  <c r="D24" i="197"/>
  <c r="C24" i="197"/>
  <c r="F24" i="197" s="1"/>
  <c r="P23" i="197"/>
  <c r="J23" i="197"/>
  <c r="E23" i="197" a="1"/>
  <c r="E23" i="197" s="1"/>
  <c r="D23" i="197"/>
  <c r="L23" i="197" s="1"/>
  <c r="M23" i="197" s="1"/>
  <c r="C23" i="197"/>
  <c r="H23" i="197" s="1"/>
  <c r="I23" i="197" s="1"/>
  <c r="O23" i="197" s="1"/>
  <c r="P22" i="197"/>
  <c r="L22" i="197"/>
  <c r="M22" i="197" s="1"/>
  <c r="J22" i="197"/>
  <c r="H22" i="197"/>
  <c r="I22" i="197" s="1"/>
  <c r="O22" i="197" s="1"/>
  <c r="E22" i="197" a="1"/>
  <c r="E22" i="197" s="1"/>
  <c r="D22" i="197"/>
  <c r="C22" i="197"/>
  <c r="F22" i="197" s="1"/>
  <c r="P21" i="197"/>
  <c r="J21" i="197"/>
  <c r="E21" i="197" a="1"/>
  <c r="E21" i="197" s="1"/>
  <c r="D21" i="197"/>
  <c r="L21" i="197" s="1"/>
  <c r="M21" i="197" s="1"/>
  <c r="C21" i="197"/>
  <c r="F21" i="197" s="1"/>
  <c r="P20" i="197"/>
  <c r="L20" i="197"/>
  <c r="M20" i="197" s="1"/>
  <c r="J20" i="197"/>
  <c r="H20" i="197"/>
  <c r="I20" i="197" s="1"/>
  <c r="O20" i="197" s="1"/>
  <c r="E20" i="197" a="1"/>
  <c r="E20" i="197" s="1"/>
  <c r="D20" i="197"/>
  <c r="C20" i="197"/>
  <c r="F20" i="197" s="1"/>
  <c r="J19" i="197"/>
  <c r="E19" i="197" a="1"/>
  <c r="E19" i="197" s="1"/>
  <c r="D19" i="197"/>
  <c r="L19" i="197" s="1"/>
  <c r="M19" i="197" s="1"/>
  <c r="C19" i="197"/>
  <c r="H19" i="197" s="1"/>
  <c r="P17" i="197"/>
  <c r="N17" i="197"/>
  <c r="E17" i="197"/>
  <c r="P16" i="197"/>
  <c r="N16" i="197"/>
  <c r="J16" i="197"/>
  <c r="E16" i="197"/>
  <c r="P15" i="197"/>
  <c r="N15" i="197"/>
  <c r="J15" i="197"/>
  <c r="E15" i="197"/>
  <c r="J14" i="197"/>
  <c r="S13" i="197"/>
  <c r="P13" i="197"/>
  <c r="O13" i="197"/>
  <c r="J13" i="197"/>
  <c r="P11" i="197"/>
  <c r="J11" i="197"/>
  <c r="P10" i="197"/>
  <c r="J10" i="197"/>
  <c r="M11" i="197" s="1"/>
  <c r="S6" i="197" s="1"/>
  <c r="E10" i="197"/>
  <c r="O9" i="197"/>
  <c r="J9" i="197"/>
  <c r="K14" i="197" s="1"/>
  <c r="S8" i="197"/>
  <c r="J8" i="197"/>
  <c r="L7" i="197"/>
  <c r="F7" i="197"/>
  <c r="E7" i="197" a="1"/>
  <c r="E7" i="197" s="1"/>
  <c r="P7" i="197" s="1" a="1"/>
  <c r="P7" i="197" s="1"/>
  <c r="X6" i="197"/>
  <c r="O92" i="197" s="1"/>
  <c r="V6" i="197"/>
  <c r="U6" i="197"/>
  <c r="T6" i="197"/>
  <c r="R6" i="197"/>
  <c r="P5" i="197"/>
  <c r="P8" i="197" s="1"/>
  <c r="N5" i="197"/>
  <c r="M5" i="197"/>
  <c r="K5" i="197"/>
  <c r="J5" i="197"/>
  <c r="N4" i="197"/>
  <c r="M4" i="197"/>
  <c r="J4" i="197"/>
  <c r="F4" i="197"/>
  <c r="E4" i="197"/>
  <c r="E9" i="197" s="1"/>
  <c r="P9" i="197" s="1"/>
  <c r="P90" i="196"/>
  <c r="O90" i="196"/>
  <c r="K90" i="196"/>
  <c r="I90" i="196"/>
  <c r="G90" i="196"/>
  <c r="P89" i="196"/>
  <c r="O89" i="196"/>
  <c r="K89" i="196"/>
  <c r="I89" i="196"/>
  <c r="G89" i="196"/>
  <c r="P88" i="196"/>
  <c r="O88" i="196"/>
  <c r="K88" i="196"/>
  <c r="I88" i="196"/>
  <c r="G88" i="196"/>
  <c r="P87" i="196"/>
  <c r="O87" i="196"/>
  <c r="K87" i="196"/>
  <c r="I87" i="196"/>
  <c r="G87" i="196"/>
  <c r="P86" i="196"/>
  <c r="O86" i="196"/>
  <c r="K86" i="196"/>
  <c r="I86" i="196"/>
  <c r="G86" i="196"/>
  <c r="P85" i="196"/>
  <c r="O85" i="196"/>
  <c r="K85" i="196"/>
  <c r="I85" i="196"/>
  <c r="G85" i="196"/>
  <c r="P84" i="196"/>
  <c r="O84" i="196"/>
  <c r="K84" i="196"/>
  <c r="I84" i="196"/>
  <c r="G84" i="196"/>
  <c r="P83" i="196"/>
  <c r="O83" i="196"/>
  <c r="K83" i="196"/>
  <c r="I83" i="196"/>
  <c r="G83" i="196"/>
  <c r="P82" i="196"/>
  <c r="O82" i="196"/>
  <c r="K82" i="196"/>
  <c r="I82" i="196"/>
  <c r="G82" i="196"/>
  <c r="P81" i="196"/>
  <c r="O81" i="196"/>
  <c r="K81" i="196"/>
  <c r="I81" i="196"/>
  <c r="G81" i="196"/>
  <c r="P80" i="196"/>
  <c r="O80" i="196"/>
  <c r="K80" i="196"/>
  <c r="I80" i="196"/>
  <c r="G80" i="196"/>
  <c r="P79" i="196"/>
  <c r="O79" i="196"/>
  <c r="K79" i="196"/>
  <c r="I79" i="196"/>
  <c r="G79" i="196"/>
  <c r="P78" i="196"/>
  <c r="O78" i="196"/>
  <c r="K78" i="196"/>
  <c r="I78" i="196"/>
  <c r="G78" i="196"/>
  <c r="P77" i="196"/>
  <c r="O77" i="196"/>
  <c r="K77" i="196"/>
  <c r="I77" i="196"/>
  <c r="G77" i="196"/>
  <c r="P76" i="196"/>
  <c r="O76" i="196"/>
  <c r="K76" i="196"/>
  <c r="I76" i="196"/>
  <c r="G76" i="196"/>
  <c r="P75" i="196"/>
  <c r="O75" i="196"/>
  <c r="K75" i="196"/>
  <c r="I75" i="196"/>
  <c r="G75" i="196"/>
  <c r="P74" i="196"/>
  <c r="O74" i="196"/>
  <c r="K74" i="196"/>
  <c r="I74" i="196"/>
  <c r="G74" i="196"/>
  <c r="P73" i="196"/>
  <c r="K73" i="196"/>
  <c r="I73" i="196"/>
  <c r="G73" i="196"/>
  <c r="J67" i="196" s="1"/>
  <c r="P71" i="196"/>
  <c r="O71" i="196"/>
  <c r="K71" i="196"/>
  <c r="G71" i="196"/>
  <c r="P70" i="196"/>
  <c r="O70" i="196"/>
  <c r="N70" i="196"/>
  <c r="K70" i="196"/>
  <c r="G70" i="196"/>
  <c r="P69" i="196"/>
  <c r="O69" i="196"/>
  <c r="N69" i="196"/>
  <c r="K69" i="196"/>
  <c r="G69" i="196"/>
  <c r="N67" i="196"/>
  <c r="H66" i="196"/>
  <c r="I66" i="196" s="1"/>
  <c r="O73" i="196" s="1"/>
  <c r="F66" i="196" a="1"/>
  <c r="F66" i="196" s="1"/>
  <c r="P65" i="196"/>
  <c r="L65" i="196"/>
  <c r="L66" i="196" s="1"/>
  <c r="L67" i="196" s="1"/>
  <c r="K65" i="196"/>
  <c r="E65" i="196"/>
  <c r="O64" i="196"/>
  <c r="M64" i="196"/>
  <c r="L64" i="196"/>
  <c r="P64" i="196" s="1"/>
  <c r="K64" i="196"/>
  <c r="E64" i="196" s="1"/>
  <c r="J64" i="196"/>
  <c r="H64" i="196"/>
  <c r="I64" i="196" s="1"/>
  <c r="E57" i="196"/>
  <c r="P57" i="196" s="1"/>
  <c r="O56" i="196"/>
  <c r="N56" i="196"/>
  <c r="L56" i="196"/>
  <c r="K56" i="196"/>
  <c r="H56" i="196"/>
  <c r="F56" i="196"/>
  <c r="P56" i="196" s="1"/>
  <c r="E56" i="196"/>
  <c r="O55" i="196"/>
  <c r="N55" i="196"/>
  <c r="L55" i="196"/>
  <c r="K55" i="196"/>
  <c r="H55" i="196"/>
  <c r="F55" i="196"/>
  <c r="P55" i="196" s="1"/>
  <c r="E55" i="196"/>
  <c r="O54" i="196"/>
  <c r="N54" i="196"/>
  <c r="L54" i="196"/>
  <c r="K54" i="196"/>
  <c r="H54" i="196"/>
  <c r="F54" i="196"/>
  <c r="P54" i="196" s="1"/>
  <c r="E54" i="196"/>
  <c r="O53" i="196"/>
  <c r="N53" i="196"/>
  <c r="L53" i="196"/>
  <c r="K53" i="196"/>
  <c r="H53" i="196"/>
  <c r="F53" i="196"/>
  <c r="P53" i="196" s="1"/>
  <c r="E53" i="196"/>
  <c r="O52" i="196"/>
  <c r="N52" i="196"/>
  <c r="L52" i="196"/>
  <c r="K52" i="196"/>
  <c r="H52" i="196"/>
  <c r="F52" i="196"/>
  <c r="P52" i="196" s="1"/>
  <c r="E52" i="196"/>
  <c r="O51" i="196"/>
  <c r="N51" i="196"/>
  <c r="L51" i="196"/>
  <c r="K51" i="196"/>
  <c r="H51" i="196"/>
  <c r="F51" i="196"/>
  <c r="P51" i="196" s="1"/>
  <c r="E51" i="196"/>
  <c r="O50" i="196"/>
  <c r="N50" i="196"/>
  <c r="L50" i="196"/>
  <c r="K50" i="196"/>
  <c r="H50" i="196"/>
  <c r="F50" i="196"/>
  <c r="P50" i="196" s="1"/>
  <c r="E50" i="196"/>
  <c r="O49" i="196"/>
  <c r="N49" i="196"/>
  <c r="L49" i="196"/>
  <c r="K49" i="196"/>
  <c r="H49" i="196"/>
  <c r="F49" i="196"/>
  <c r="P49" i="196" s="1"/>
  <c r="E49" i="196"/>
  <c r="O48" i="196"/>
  <c r="N48" i="196"/>
  <c r="L48" i="196"/>
  <c r="K48" i="196"/>
  <c r="H48" i="196"/>
  <c r="F48" i="196"/>
  <c r="P48" i="196" s="1"/>
  <c r="E48" i="196"/>
  <c r="O47" i="196"/>
  <c r="N47" i="196"/>
  <c r="L47" i="196"/>
  <c r="K47" i="196"/>
  <c r="H47" i="196"/>
  <c r="F47" i="196"/>
  <c r="P47" i="196" s="1"/>
  <c r="E47" i="196"/>
  <c r="O46" i="196"/>
  <c r="N46" i="196"/>
  <c r="L46" i="196"/>
  <c r="K46" i="196"/>
  <c r="H46" i="196"/>
  <c r="F46" i="196"/>
  <c r="P46" i="196" s="1"/>
  <c r="E46" i="196"/>
  <c r="O45" i="196"/>
  <c r="N45" i="196"/>
  <c r="L45" i="196"/>
  <c r="K45" i="196"/>
  <c r="H45" i="196"/>
  <c r="F45" i="196"/>
  <c r="P45" i="196" s="1"/>
  <c r="E45" i="196"/>
  <c r="O44" i="196"/>
  <c r="N44" i="196"/>
  <c r="L44" i="196"/>
  <c r="K44" i="196"/>
  <c r="H44" i="196"/>
  <c r="F44" i="196"/>
  <c r="P44" i="196" s="1"/>
  <c r="E44" i="196"/>
  <c r="O43" i="196"/>
  <c r="N43" i="196"/>
  <c r="L43" i="196"/>
  <c r="K43" i="196"/>
  <c r="H43" i="196"/>
  <c r="F43" i="196"/>
  <c r="P43" i="196" s="1"/>
  <c r="E43" i="196"/>
  <c r="O42" i="196"/>
  <c r="N42" i="196"/>
  <c r="L42" i="196"/>
  <c r="K42" i="196"/>
  <c r="H42" i="196"/>
  <c r="F42" i="196"/>
  <c r="P42" i="196" s="1"/>
  <c r="E42" i="196"/>
  <c r="O41" i="196"/>
  <c r="N41" i="196"/>
  <c r="L41" i="196"/>
  <c r="K41" i="196"/>
  <c r="H41" i="196"/>
  <c r="F41" i="196"/>
  <c r="P41" i="196" s="1"/>
  <c r="E41" i="196"/>
  <c r="O40" i="196"/>
  <c r="N40" i="196"/>
  <c r="L40" i="196"/>
  <c r="K40" i="196"/>
  <c r="H40" i="196"/>
  <c r="F40" i="196"/>
  <c r="P40" i="196" s="1"/>
  <c r="E40" i="196"/>
  <c r="O39" i="196"/>
  <c r="N39" i="196"/>
  <c r="L39" i="196"/>
  <c r="K39" i="196"/>
  <c r="H39" i="196"/>
  <c r="F39" i="196"/>
  <c r="P39" i="196" s="1"/>
  <c r="E39" i="196"/>
  <c r="O38" i="196"/>
  <c r="N38" i="196"/>
  <c r="L38" i="196"/>
  <c r="K38" i="196"/>
  <c r="H38" i="196"/>
  <c r="F38" i="196"/>
  <c r="P38" i="196" s="1"/>
  <c r="E38" i="196"/>
  <c r="O37" i="196"/>
  <c r="N37" i="196"/>
  <c r="L37" i="196"/>
  <c r="K37" i="196"/>
  <c r="H37" i="196"/>
  <c r="F37" i="196"/>
  <c r="P37" i="196" s="1"/>
  <c r="E37" i="196"/>
  <c r="O36" i="196"/>
  <c r="N36" i="196"/>
  <c r="L36" i="196"/>
  <c r="K36" i="196"/>
  <c r="H36" i="196"/>
  <c r="F36" i="196"/>
  <c r="P36" i="196" s="1"/>
  <c r="E36" i="196"/>
  <c r="O34" i="196"/>
  <c r="N34" i="196"/>
  <c r="K34" i="196"/>
  <c r="H34" i="196"/>
  <c r="F34" i="196"/>
  <c r="P34" i="196" s="1"/>
  <c r="E34" i="196"/>
  <c r="O33" i="196"/>
  <c r="N33" i="196"/>
  <c r="K33" i="196"/>
  <c r="H33" i="196"/>
  <c r="F33" i="196"/>
  <c r="P33" i="196" s="1"/>
  <c r="E33" i="196"/>
  <c r="O32" i="196"/>
  <c r="N32" i="196"/>
  <c r="K32" i="196"/>
  <c r="H32" i="196"/>
  <c r="F32" i="196"/>
  <c r="P32" i="196" s="1"/>
  <c r="E32" i="196"/>
  <c r="O31" i="196"/>
  <c r="N31" i="196"/>
  <c r="K31" i="196"/>
  <c r="H31" i="196"/>
  <c r="F31" i="196"/>
  <c r="P31" i="196" s="1"/>
  <c r="E31" i="196"/>
  <c r="O30" i="196"/>
  <c r="N30" i="196"/>
  <c r="K30" i="196"/>
  <c r="H30" i="196"/>
  <c r="F30" i="196"/>
  <c r="P30" i="196" s="1"/>
  <c r="E30" i="196"/>
  <c r="P28" i="196"/>
  <c r="J28" i="196"/>
  <c r="D28" i="196"/>
  <c r="L28" i="196" s="1"/>
  <c r="M28" i="196" s="1"/>
  <c r="C28" i="196"/>
  <c r="F28" i="196" s="1"/>
  <c r="A28" i="196"/>
  <c r="P27" i="196"/>
  <c r="J27" i="196"/>
  <c r="D27" i="196"/>
  <c r="L27" i="196" s="1"/>
  <c r="M27" i="196" s="1"/>
  <c r="C27" i="196"/>
  <c r="F27" i="196" s="1"/>
  <c r="A27" i="196"/>
  <c r="P26" i="196"/>
  <c r="J26" i="196"/>
  <c r="E26" i="196" a="1"/>
  <c r="E26" i="196" s="1"/>
  <c r="D26" i="196"/>
  <c r="L26" i="196" s="1"/>
  <c r="M26" i="196" s="1"/>
  <c r="C26" i="196"/>
  <c r="H26" i="196" s="1"/>
  <c r="I26" i="196" s="1"/>
  <c r="O26" i="196" s="1"/>
  <c r="P25" i="196"/>
  <c r="J25" i="196"/>
  <c r="E25" i="196" a="1"/>
  <c r="E25" i="196" s="1"/>
  <c r="D25" i="196"/>
  <c r="L25" i="196" s="1"/>
  <c r="M25" i="196" s="1"/>
  <c r="C25" i="196"/>
  <c r="H25" i="196" s="1"/>
  <c r="I25" i="196" s="1"/>
  <c r="O25" i="196" s="1"/>
  <c r="P24" i="196"/>
  <c r="J24" i="196"/>
  <c r="E24" i="196" a="1"/>
  <c r="E24" i="196" s="1"/>
  <c r="D24" i="196"/>
  <c r="L24" i="196" s="1"/>
  <c r="M24" i="196" s="1"/>
  <c r="C24" i="196"/>
  <c r="H24" i="196" s="1"/>
  <c r="I24" i="196" s="1"/>
  <c r="O24" i="196" s="1"/>
  <c r="P23" i="196"/>
  <c r="J23" i="196"/>
  <c r="E23" i="196" a="1"/>
  <c r="E23" i="196" s="1"/>
  <c r="D23" i="196"/>
  <c r="L23" i="196" s="1"/>
  <c r="M23" i="196" s="1"/>
  <c r="C23" i="196"/>
  <c r="F23" i="196" s="1"/>
  <c r="P22" i="196"/>
  <c r="J22" i="196"/>
  <c r="D22" i="196"/>
  <c r="L22" i="196" s="1"/>
  <c r="M22" i="196" s="1"/>
  <c r="C22" i="196"/>
  <c r="H22" i="196" s="1"/>
  <c r="I22" i="196" s="1"/>
  <c r="O22" i="196" s="1"/>
  <c r="P21" i="196"/>
  <c r="J21" i="196"/>
  <c r="E21" i="196" a="1"/>
  <c r="E21" i="196" s="1"/>
  <c r="D21" i="196"/>
  <c r="L21" i="196" s="1"/>
  <c r="M21" i="196" s="1"/>
  <c r="C21" i="196"/>
  <c r="H21" i="196" s="1"/>
  <c r="I21" i="196" s="1"/>
  <c r="O21" i="196" s="1"/>
  <c r="P20" i="196"/>
  <c r="J20" i="196"/>
  <c r="D20" i="196"/>
  <c r="L20" i="196" s="1"/>
  <c r="M20" i="196" s="1"/>
  <c r="C20" i="196"/>
  <c r="H20" i="196" s="1"/>
  <c r="I20" i="196" s="1"/>
  <c r="O20" i="196" s="1"/>
  <c r="P19" i="196"/>
  <c r="J19" i="196"/>
  <c r="E19" i="196" a="1"/>
  <c r="E19" i="196" s="1"/>
  <c r="D19" i="196"/>
  <c r="L19" i="196" s="1"/>
  <c r="M19" i="196" s="1"/>
  <c r="C19" i="196"/>
  <c r="F19" i="196" s="1"/>
  <c r="P17" i="196"/>
  <c r="N17" i="196"/>
  <c r="E17" i="196"/>
  <c r="P16" i="196"/>
  <c r="N16" i="196"/>
  <c r="E16" i="196"/>
  <c r="N15" i="196"/>
  <c r="J15" i="196"/>
  <c r="J16" i="196" s="1"/>
  <c r="E15" i="196"/>
  <c r="P15" i="196" s="1"/>
  <c r="P14" i="196"/>
  <c r="J14" i="196"/>
  <c r="S13" i="196"/>
  <c r="P13" i="196"/>
  <c r="O13" i="196"/>
  <c r="P11" i="196"/>
  <c r="J11" i="196"/>
  <c r="P10" i="196"/>
  <c r="J10" i="196"/>
  <c r="M11" i="196" s="1"/>
  <c r="S6" i="196" s="1"/>
  <c r="E10" i="196"/>
  <c r="O9" i="196"/>
  <c r="S8" i="196"/>
  <c r="P8" i="196"/>
  <c r="J8" i="196"/>
  <c r="J9" i="196" s="1"/>
  <c r="L7" i="196"/>
  <c r="F7" i="196"/>
  <c r="E7" i="196" a="1"/>
  <c r="E7" i="196" s="1"/>
  <c r="P7" i="196" s="1" a="1"/>
  <c r="P7" i="196" s="1"/>
  <c r="X6" i="196"/>
  <c r="O92" i="196" s="1"/>
  <c r="V6" i="196"/>
  <c r="U6" i="196"/>
  <c r="T6" i="196"/>
  <c r="R6" i="196"/>
  <c r="P5" i="196"/>
  <c r="N5" i="196"/>
  <c r="M5" i="196"/>
  <c r="K5" i="196"/>
  <c r="J5" i="196"/>
  <c r="J13" i="196" s="1"/>
  <c r="N4" i="196"/>
  <c r="M4" i="196"/>
  <c r="J4" i="196"/>
  <c r="F4" i="196"/>
  <c r="E4" i="196"/>
  <c r="E5" i="196" s="1"/>
  <c r="P90" i="194"/>
  <c r="O90" i="194"/>
  <c r="K90" i="194"/>
  <c r="I90" i="194"/>
  <c r="G90" i="194"/>
  <c r="P89" i="194"/>
  <c r="O89" i="194"/>
  <c r="K89" i="194"/>
  <c r="I89" i="194"/>
  <c r="G89" i="194"/>
  <c r="P88" i="194"/>
  <c r="O88" i="194"/>
  <c r="K88" i="194"/>
  <c r="I88" i="194"/>
  <c r="G88" i="194"/>
  <c r="P87" i="194"/>
  <c r="O87" i="194"/>
  <c r="K87" i="194"/>
  <c r="I87" i="194"/>
  <c r="G87" i="194"/>
  <c r="P86" i="194"/>
  <c r="O86" i="194"/>
  <c r="K86" i="194"/>
  <c r="I86" i="194"/>
  <c r="G86" i="194"/>
  <c r="P85" i="194"/>
  <c r="O85" i="194"/>
  <c r="K85" i="194"/>
  <c r="I85" i="194"/>
  <c r="G85" i="194"/>
  <c r="P84" i="194"/>
  <c r="O84" i="194"/>
  <c r="K84" i="194"/>
  <c r="I84" i="194"/>
  <c r="G84" i="194"/>
  <c r="P83" i="194"/>
  <c r="O83" i="194"/>
  <c r="K83" i="194"/>
  <c r="I83" i="194"/>
  <c r="G83" i="194"/>
  <c r="P82" i="194"/>
  <c r="O82" i="194"/>
  <c r="K82" i="194"/>
  <c r="I82" i="194"/>
  <c r="G82" i="194"/>
  <c r="P81" i="194"/>
  <c r="O81" i="194"/>
  <c r="K81" i="194"/>
  <c r="I81" i="194"/>
  <c r="G81" i="194"/>
  <c r="P80" i="194"/>
  <c r="O80" i="194"/>
  <c r="K80" i="194"/>
  <c r="I80" i="194"/>
  <c r="G80" i="194"/>
  <c r="P79" i="194"/>
  <c r="O79" i="194"/>
  <c r="K79" i="194"/>
  <c r="I79" i="194"/>
  <c r="G79" i="194"/>
  <c r="P78" i="194"/>
  <c r="O78" i="194"/>
  <c r="K78" i="194"/>
  <c r="I78" i="194"/>
  <c r="G78" i="194"/>
  <c r="P77" i="194"/>
  <c r="O77" i="194"/>
  <c r="K77" i="194"/>
  <c r="I77" i="194"/>
  <c r="G77" i="194"/>
  <c r="P76" i="194"/>
  <c r="O76" i="194"/>
  <c r="K76" i="194"/>
  <c r="I76" i="194"/>
  <c r="G76" i="194"/>
  <c r="P75" i="194"/>
  <c r="O75" i="194"/>
  <c r="K75" i="194"/>
  <c r="I75" i="194"/>
  <c r="G75" i="194"/>
  <c r="P74" i="194"/>
  <c r="O74" i="194"/>
  <c r="K74" i="194"/>
  <c r="I74" i="194"/>
  <c r="G74" i="194"/>
  <c r="P73" i="194"/>
  <c r="K73" i="194"/>
  <c r="I73" i="194"/>
  <c r="G73" i="194"/>
  <c r="P71" i="194"/>
  <c r="O71" i="194"/>
  <c r="K71" i="194"/>
  <c r="G71" i="194"/>
  <c r="P70" i="194"/>
  <c r="O70" i="194"/>
  <c r="N70" i="194"/>
  <c r="K70" i="194"/>
  <c r="G70" i="194"/>
  <c r="P69" i="194"/>
  <c r="O69" i="194"/>
  <c r="N69" i="194"/>
  <c r="K69" i="194"/>
  <c r="G69" i="194"/>
  <c r="N67" i="194"/>
  <c r="F66" i="194" a="1"/>
  <c r="F66" i="194" s="1"/>
  <c r="P65" i="194"/>
  <c r="K65" i="194"/>
  <c r="E65" i="194"/>
  <c r="O64" i="194"/>
  <c r="M64" i="194"/>
  <c r="L64" i="194"/>
  <c r="K64" i="194"/>
  <c r="J64" i="194"/>
  <c r="H64" i="194"/>
  <c r="I64" i="194" s="1"/>
  <c r="E57" i="194"/>
  <c r="P57" i="194" s="1"/>
  <c r="O56" i="194"/>
  <c r="N56" i="194"/>
  <c r="L56" i="194"/>
  <c r="K56" i="194"/>
  <c r="H56" i="194"/>
  <c r="F56" i="194"/>
  <c r="P56" i="194" s="1"/>
  <c r="E56" i="194"/>
  <c r="O55" i="194"/>
  <c r="N55" i="194"/>
  <c r="L55" i="194"/>
  <c r="K55" i="194"/>
  <c r="H55" i="194"/>
  <c r="F55" i="194"/>
  <c r="P55" i="194" s="1"/>
  <c r="E55" i="194"/>
  <c r="O54" i="194"/>
  <c r="N54" i="194"/>
  <c r="L54" i="194"/>
  <c r="K54" i="194"/>
  <c r="H54" i="194"/>
  <c r="F54" i="194"/>
  <c r="P54" i="194" s="1"/>
  <c r="E54" i="194"/>
  <c r="O53" i="194"/>
  <c r="N53" i="194"/>
  <c r="L53" i="194"/>
  <c r="K53" i="194"/>
  <c r="H53" i="194"/>
  <c r="F53" i="194"/>
  <c r="P53" i="194" s="1"/>
  <c r="E53" i="194"/>
  <c r="O52" i="194"/>
  <c r="N52" i="194"/>
  <c r="L52" i="194"/>
  <c r="K52" i="194"/>
  <c r="H52" i="194"/>
  <c r="F52" i="194"/>
  <c r="P52" i="194" s="1"/>
  <c r="E52" i="194"/>
  <c r="O51" i="194"/>
  <c r="N51" i="194"/>
  <c r="L51" i="194"/>
  <c r="K51" i="194"/>
  <c r="H51" i="194"/>
  <c r="F51" i="194"/>
  <c r="P51" i="194" s="1"/>
  <c r="E51" i="194"/>
  <c r="O50" i="194"/>
  <c r="N50" i="194"/>
  <c r="L50" i="194"/>
  <c r="K50" i="194"/>
  <c r="H50" i="194"/>
  <c r="F50" i="194"/>
  <c r="P50" i="194" s="1"/>
  <c r="E50" i="194"/>
  <c r="O49" i="194"/>
  <c r="N49" i="194"/>
  <c r="L49" i="194"/>
  <c r="K49" i="194"/>
  <c r="H49" i="194"/>
  <c r="F49" i="194"/>
  <c r="P49" i="194" s="1"/>
  <c r="E49" i="194"/>
  <c r="O48" i="194"/>
  <c r="N48" i="194"/>
  <c r="L48" i="194"/>
  <c r="K48" i="194"/>
  <c r="H48" i="194"/>
  <c r="F48" i="194"/>
  <c r="P48" i="194" s="1"/>
  <c r="E48" i="194"/>
  <c r="O47" i="194"/>
  <c r="N47" i="194"/>
  <c r="L47" i="194"/>
  <c r="K47" i="194"/>
  <c r="H47" i="194"/>
  <c r="F47" i="194"/>
  <c r="P47" i="194" s="1"/>
  <c r="E47" i="194"/>
  <c r="O46" i="194"/>
  <c r="N46" i="194"/>
  <c r="L46" i="194"/>
  <c r="K46" i="194"/>
  <c r="H46" i="194"/>
  <c r="F46" i="194"/>
  <c r="P46" i="194" s="1"/>
  <c r="E46" i="194"/>
  <c r="O45" i="194"/>
  <c r="N45" i="194"/>
  <c r="L45" i="194"/>
  <c r="K45" i="194"/>
  <c r="H45" i="194"/>
  <c r="F45" i="194"/>
  <c r="P45" i="194" s="1"/>
  <c r="E45" i="194"/>
  <c r="O44" i="194"/>
  <c r="N44" i="194"/>
  <c r="L44" i="194"/>
  <c r="K44" i="194"/>
  <c r="H44" i="194"/>
  <c r="F44" i="194"/>
  <c r="P44" i="194" s="1"/>
  <c r="E44" i="194"/>
  <c r="O43" i="194"/>
  <c r="N43" i="194"/>
  <c r="L43" i="194"/>
  <c r="K43" i="194"/>
  <c r="H43" i="194"/>
  <c r="F43" i="194"/>
  <c r="P43" i="194" s="1"/>
  <c r="E43" i="194"/>
  <c r="O42" i="194"/>
  <c r="N42" i="194"/>
  <c r="L42" i="194"/>
  <c r="K42" i="194"/>
  <c r="H42" i="194"/>
  <c r="F42" i="194"/>
  <c r="P42" i="194" s="1"/>
  <c r="E42" i="194"/>
  <c r="O41" i="194"/>
  <c r="N41" i="194"/>
  <c r="L41" i="194"/>
  <c r="K41" i="194"/>
  <c r="H41" i="194"/>
  <c r="F41" i="194"/>
  <c r="P41" i="194" s="1"/>
  <c r="E41" i="194"/>
  <c r="O40" i="194"/>
  <c r="N40" i="194"/>
  <c r="L40" i="194"/>
  <c r="K40" i="194"/>
  <c r="H40" i="194"/>
  <c r="F40" i="194"/>
  <c r="P40" i="194" s="1"/>
  <c r="E40" i="194"/>
  <c r="O39" i="194"/>
  <c r="N39" i="194"/>
  <c r="L39" i="194"/>
  <c r="K39" i="194"/>
  <c r="H39" i="194"/>
  <c r="F39" i="194"/>
  <c r="P39" i="194" s="1"/>
  <c r="E39" i="194"/>
  <c r="O38" i="194"/>
  <c r="N38" i="194"/>
  <c r="L38" i="194"/>
  <c r="K38" i="194"/>
  <c r="H38" i="194"/>
  <c r="F38" i="194"/>
  <c r="P38" i="194" s="1"/>
  <c r="E38" i="194"/>
  <c r="O37" i="194"/>
  <c r="N37" i="194"/>
  <c r="L37" i="194"/>
  <c r="K37" i="194"/>
  <c r="H37" i="194"/>
  <c r="F37" i="194"/>
  <c r="P37" i="194" s="1"/>
  <c r="E37" i="194"/>
  <c r="O36" i="194"/>
  <c r="N36" i="194"/>
  <c r="L36" i="194"/>
  <c r="K36" i="194"/>
  <c r="H36" i="194"/>
  <c r="F36" i="194"/>
  <c r="P36" i="194" s="1"/>
  <c r="E36" i="194"/>
  <c r="O34" i="194"/>
  <c r="N34" i="194"/>
  <c r="K34" i="194"/>
  <c r="H34" i="194"/>
  <c r="F34" i="194"/>
  <c r="P34" i="194" s="1"/>
  <c r="E34" i="194"/>
  <c r="O33" i="194"/>
  <c r="N33" i="194"/>
  <c r="K33" i="194"/>
  <c r="H33" i="194"/>
  <c r="F33" i="194"/>
  <c r="P33" i="194" s="1"/>
  <c r="E33" i="194"/>
  <c r="O32" i="194"/>
  <c r="N32" i="194"/>
  <c r="K32" i="194"/>
  <c r="H32" i="194"/>
  <c r="F32" i="194"/>
  <c r="P32" i="194" s="1"/>
  <c r="E32" i="194"/>
  <c r="O31" i="194"/>
  <c r="N31" i="194"/>
  <c r="K31" i="194"/>
  <c r="H31" i="194"/>
  <c r="F31" i="194"/>
  <c r="P31" i="194" s="1"/>
  <c r="E31" i="194"/>
  <c r="O30" i="194"/>
  <c r="N30" i="194"/>
  <c r="K30" i="194"/>
  <c r="H30" i="194"/>
  <c r="F30" i="194"/>
  <c r="P30" i="194" s="1"/>
  <c r="E30" i="194"/>
  <c r="P28" i="194"/>
  <c r="J28" i="194"/>
  <c r="D28" i="194"/>
  <c r="L28" i="194" s="1"/>
  <c r="M28" i="194" s="1"/>
  <c r="C28" i="194"/>
  <c r="F28" i="194" s="1"/>
  <c r="A28" i="194"/>
  <c r="P27" i="194"/>
  <c r="J27" i="194"/>
  <c r="D27" i="194"/>
  <c r="L27" i="194" s="1"/>
  <c r="M27" i="194" s="1"/>
  <c r="C27" i="194"/>
  <c r="H27" i="194" s="1"/>
  <c r="I27" i="194" s="1"/>
  <c r="O27" i="194" s="1"/>
  <c r="A27" i="194"/>
  <c r="P26" i="194"/>
  <c r="J26" i="194"/>
  <c r="E26" i="194" a="1"/>
  <c r="E26" i="194" s="1"/>
  <c r="D26" i="194"/>
  <c r="L26" i="194" s="1"/>
  <c r="M26" i="194" s="1"/>
  <c r="C26" i="194"/>
  <c r="F26" i="194" s="1"/>
  <c r="P25" i="194"/>
  <c r="J25" i="194"/>
  <c r="E25" i="194" a="1"/>
  <c r="E25" i="194" s="1"/>
  <c r="D25" i="194"/>
  <c r="L25" i="194" s="1"/>
  <c r="M25" i="194" s="1"/>
  <c r="C25" i="194"/>
  <c r="H25" i="194" s="1"/>
  <c r="I25" i="194" s="1"/>
  <c r="O25" i="194" s="1"/>
  <c r="P24" i="194"/>
  <c r="J24" i="194"/>
  <c r="E24" i="194" a="1"/>
  <c r="E24" i="194" s="1"/>
  <c r="D24" i="194"/>
  <c r="L24" i="194" s="1"/>
  <c r="M24" i="194" s="1"/>
  <c r="C24" i="194"/>
  <c r="F24" i="194" s="1"/>
  <c r="P23" i="194"/>
  <c r="J23" i="194"/>
  <c r="D23" i="194"/>
  <c r="L23" i="194" s="1"/>
  <c r="M23" i="194" s="1"/>
  <c r="C23" i="194"/>
  <c r="H23" i="194" s="1"/>
  <c r="I23" i="194" s="1"/>
  <c r="O23" i="194" s="1"/>
  <c r="P22" i="194"/>
  <c r="J22" i="194"/>
  <c r="D22" i="194"/>
  <c r="L22" i="194" s="1"/>
  <c r="M22" i="194" s="1"/>
  <c r="C22" i="194"/>
  <c r="F22" i="194" s="1"/>
  <c r="P21" i="194"/>
  <c r="J21" i="194"/>
  <c r="D21" i="194"/>
  <c r="L21" i="194" s="1"/>
  <c r="M21" i="194" s="1"/>
  <c r="C21" i="194"/>
  <c r="H21" i="194" s="1"/>
  <c r="I21" i="194" s="1"/>
  <c r="O21" i="194" s="1"/>
  <c r="P20" i="194"/>
  <c r="J20" i="194"/>
  <c r="D20" i="194"/>
  <c r="L20" i="194" s="1"/>
  <c r="M20" i="194" s="1"/>
  <c r="C20" i="194"/>
  <c r="H20" i="194" s="1"/>
  <c r="I20" i="194" s="1"/>
  <c r="O20" i="194" s="1"/>
  <c r="P19" i="194"/>
  <c r="L19" i="194"/>
  <c r="M19" i="194" s="1"/>
  <c r="J19" i="194"/>
  <c r="D19" i="194"/>
  <c r="C19" i="194"/>
  <c r="H19" i="194" s="1"/>
  <c r="P17" i="194"/>
  <c r="N17" i="194"/>
  <c r="E17" i="194"/>
  <c r="P16" i="194"/>
  <c r="N16" i="194"/>
  <c r="E16" i="194"/>
  <c r="N15" i="194"/>
  <c r="J15" i="194"/>
  <c r="J16" i="194" s="1"/>
  <c r="E15" i="194"/>
  <c r="P15" i="194" s="1"/>
  <c r="J14" i="194"/>
  <c r="S13" i="194"/>
  <c r="P13" i="194"/>
  <c r="O13" i="194"/>
  <c r="J13" i="194"/>
  <c r="P11" i="194"/>
  <c r="J11" i="194"/>
  <c r="P10" i="194"/>
  <c r="J10" i="194"/>
  <c r="E10" i="194"/>
  <c r="O9" i="194"/>
  <c r="S8" i="194"/>
  <c r="P8" i="194"/>
  <c r="J8" i="194"/>
  <c r="J9" i="194" s="1"/>
  <c r="L7" i="194"/>
  <c r="F7" i="194"/>
  <c r="X6" i="194"/>
  <c r="O92" i="194" s="1"/>
  <c r="V6" i="194"/>
  <c r="U6" i="194"/>
  <c r="T6" i="194"/>
  <c r="R6" i="194"/>
  <c r="P5" i="194"/>
  <c r="P14" i="194" s="1"/>
  <c r="N5" i="194"/>
  <c r="M5" i="194"/>
  <c r="K5" i="194"/>
  <c r="J5" i="194"/>
  <c r="N4" i="194"/>
  <c r="M4" i="194"/>
  <c r="J4" i="194"/>
  <c r="F4" i="194"/>
  <c r="E4" i="194"/>
  <c r="E9" i="194" s="1"/>
  <c r="P9" i="194" s="1"/>
  <c r="A7" i="196" l="1"/>
  <c r="A7" i="204"/>
  <c r="J7" i="204"/>
  <c r="J7" i="198"/>
  <c r="A7" i="199"/>
  <c r="J7" i="199"/>
  <c r="J7" i="196"/>
  <c r="N7" i="200"/>
  <c r="S11" i="200" s="1"/>
  <c r="J7" i="200"/>
  <c r="A7" i="198"/>
  <c r="N7" i="199"/>
  <c r="S11" i="199" s="1"/>
  <c r="A7" i="197"/>
  <c r="N7" i="196"/>
  <c r="S11" i="196" s="1"/>
  <c r="N7" i="205"/>
  <c r="S11" i="205" s="1"/>
  <c r="N7" i="204"/>
  <c r="S11" i="204" s="1"/>
  <c r="J7" i="203"/>
  <c r="N7" i="202"/>
  <c r="S11" i="202" s="1"/>
  <c r="A7" i="202"/>
  <c r="N7" i="201"/>
  <c r="S11" i="201" s="1"/>
  <c r="S10" i="205"/>
  <c r="P67" i="205"/>
  <c r="S9" i="205"/>
  <c r="I19" i="205"/>
  <c r="O19" i="205" s="1"/>
  <c r="A7" i="205"/>
  <c r="F27" i="205"/>
  <c r="P66" i="205" a="1"/>
  <c r="P66" i="205" s="1"/>
  <c r="E7" i="205" a="1"/>
  <c r="E7" i="205" s="1"/>
  <c r="P7" i="205" s="1" a="1"/>
  <c r="P7" i="205" s="1"/>
  <c r="P91" i="205" s="1"/>
  <c r="F19" i="205"/>
  <c r="F21" i="205"/>
  <c r="F23" i="205"/>
  <c r="F25" i="205"/>
  <c r="S12" i="205"/>
  <c r="J7" i="205"/>
  <c r="E5" i="205"/>
  <c r="E20" i="205" a="1"/>
  <c r="E20" i="205" s="1"/>
  <c r="H28" i="205"/>
  <c r="I28" i="205" s="1"/>
  <c r="O28" i="205" s="1"/>
  <c r="S7" i="205" s="1"/>
  <c r="F20" i="205"/>
  <c r="F22" i="205"/>
  <c r="F24" i="205"/>
  <c r="F26" i="205"/>
  <c r="K14" i="204"/>
  <c r="S10" i="204"/>
  <c r="P67" i="204"/>
  <c r="S9" i="204"/>
  <c r="I19" i="204"/>
  <c r="O19" i="204" s="1"/>
  <c r="S7" i="204" s="1"/>
  <c r="I66" i="204"/>
  <c r="O73" i="204" s="1"/>
  <c r="E19" i="204" a="1"/>
  <c r="E19" i="204" s="1"/>
  <c r="F27" i="204"/>
  <c r="E7" i="204" a="1"/>
  <c r="E7" i="204" s="1"/>
  <c r="P7" i="204" s="1" a="1"/>
  <c r="P7" i="204" s="1"/>
  <c r="F19" i="204"/>
  <c r="F21" i="204"/>
  <c r="F23" i="204"/>
  <c r="F25" i="204"/>
  <c r="E20" i="204" a="1"/>
  <c r="E20" i="204" s="1"/>
  <c r="F28" i="204"/>
  <c r="E9" i="204"/>
  <c r="P9" i="204" s="1"/>
  <c r="F20" i="204"/>
  <c r="F22" i="204"/>
  <c r="F24" i="204"/>
  <c r="F26" i="204"/>
  <c r="S9" i="203"/>
  <c r="I19" i="203"/>
  <c r="O19" i="203" s="1"/>
  <c r="S7" i="203" s="1"/>
  <c r="K14" i="203"/>
  <c r="S10" i="203"/>
  <c r="E19" i="203" a="1"/>
  <c r="E19" i="203" s="1"/>
  <c r="I66" i="203"/>
  <c r="O73" i="203" s="1"/>
  <c r="A7" i="203"/>
  <c r="F27" i="203"/>
  <c r="E7" i="203" a="1"/>
  <c r="E7" i="203" s="1"/>
  <c r="P7" i="203" s="1" a="1"/>
  <c r="P7" i="203" s="1"/>
  <c r="F19" i="203"/>
  <c r="F21" i="203"/>
  <c r="F23" i="203"/>
  <c r="F25" i="203"/>
  <c r="P66" i="203" a="1"/>
  <c r="P66" i="203" s="1"/>
  <c r="N7" i="203"/>
  <c r="S11" i="203" s="1"/>
  <c r="E64" i="203"/>
  <c r="E20" i="203" a="1"/>
  <c r="E20" i="203" s="1"/>
  <c r="E9" i="203"/>
  <c r="P9" i="203" s="1"/>
  <c r="F20" i="203"/>
  <c r="F22" i="203"/>
  <c r="F24" i="203"/>
  <c r="F26" i="203"/>
  <c r="F28" i="203"/>
  <c r="K14" i="202"/>
  <c r="S10" i="202"/>
  <c r="L66" i="202"/>
  <c r="L67" i="202" s="1"/>
  <c r="S9" i="202"/>
  <c r="I19" i="202"/>
  <c r="O19" i="202" s="1"/>
  <c r="I66" i="202"/>
  <c r="O73" i="202" s="1"/>
  <c r="F27" i="202"/>
  <c r="E7" i="202" a="1"/>
  <c r="E7" i="202" s="1"/>
  <c r="P7" i="202" s="1" a="1"/>
  <c r="P7" i="202" s="1"/>
  <c r="F19" i="202"/>
  <c r="F21" i="202"/>
  <c r="F23" i="202"/>
  <c r="F25" i="202"/>
  <c r="S12" i="202"/>
  <c r="J7" i="202"/>
  <c r="E20" i="202" a="1"/>
  <c r="E20" i="202" s="1"/>
  <c r="E9" i="202"/>
  <c r="P9" i="202" s="1"/>
  <c r="F20" i="202"/>
  <c r="F22" i="202"/>
  <c r="F24" i="202"/>
  <c r="F26" i="202"/>
  <c r="A7" i="201"/>
  <c r="K14" i="201"/>
  <c r="S10" i="201"/>
  <c r="P67" i="201"/>
  <c r="F27" i="201"/>
  <c r="E19" i="201" a="1"/>
  <c r="E19" i="201" s="1"/>
  <c r="H19" i="201"/>
  <c r="H21" i="201"/>
  <c r="I21" i="201" s="1"/>
  <c r="O21" i="201" s="1"/>
  <c r="H23" i="201"/>
  <c r="I23" i="201" s="1"/>
  <c r="O23" i="201" s="1"/>
  <c r="H25" i="201"/>
  <c r="I25" i="201" s="1"/>
  <c r="O25" i="201" s="1"/>
  <c r="P66" i="201" a="1"/>
  <c r="P66" i="201" s="1"/>
  <c r="E7" i="201" a="1"/>
  <c r="E7" i="201" s="1"/>
  <c r="P7" i="201" s="1" a="1"/>
  <c r="P7" i="201" s="1"/>
  <c r="J7" i="201"/>
  <c r="H28" i="201"/>
  <c r="I28" i="201" s="1"/>
  <c r="O28" i="201" s="1"/>
  <c r="E9" i="201"/>
  <c r="P9" i="201" s="1"/>
  <c r="F20" i="201"/>
  <c r="F22" i="201"/>
  <c r="F24" i="201"/>
  <c r="F26" i="201"/>
  <c r="E20" i="201" a="1"/>
  <c r="E20" i="201" s="1"/>
  <c r="S10" i="197"/>
  <c r="S9" i="200"/>
  <c r="I19" i="200"/>
  <c r="O19" i="200" s="1"/>
  <c r="K14" i="200"/>
  <c r="S10" i="200"/>
  <c r="P67" i="200"/>
  <c r="E19" i="200" a="1"/>
  <c r="E19" i="200" s="1"/>
  <c r="E21" i="200" a="1"/>
  <c r="E21" i="200" s="1"/>
  <c r="E23" i="200" a="1"/>
  <c r="E23" i="200" s="1"/>
  <c r="F41" i="200"/>
  <c r="P41" i="200" s="1"/>
  <c r="H66" i="200"/>
  <c r="A7" i="200"/>
  <c r="F27" i="200"/>
  <c r="E7" i="200" a="1"/>
  <c r="E7" i="200" s="1"/>
  <c r="P7" i="200" s="1" a="1"/>
  <c r="P7" i="200" s="1"/>
  <c r="F19" i="200"/>
  <c r="F21" i="200"/>
  <c r="F23" i="200"/>
  <c r="F25" i="200"/>
  <c r="P66" i="200" a="1"/>
  <c r="P66" i="200" s="1"/>
  <c r="E20" i="200" a="1"/>
  <c r="E20" i="200" s="1"/>
  <c r="F28" i="200"/>
  <c r="E9" i="200"/>
  <c r="P9" i="200" s="1"/>
  <c r="F22" i="200"/>
  <c r="F26" i="200"/>
  <c r="E5" i="200"/>
  <c r="F20" i="200"/>
  <c r="F24" i="200"/>
  <c r="S9" i="199"/>
  <c r="I19" i="199"/>
  <c r="O19" i="199" s="1"/>
  <c r="K14" i="199"/>
  <c r="S10" i="199"/>
  <c r="S7" i="199"/>
  <c r="P67" i="199"/>
  <c r="E19" i="199" a="1"/>
  <c r="E19" i="199" s="1"/>
  <c r="E21" i="199" a="1"/>
  <c r="E21" i="199" s="1"/>
  <c r="E23" i="199" a="1"/>
  <c r="E23" i="199" s="1"/>
  <c r="F41" i="199"/>
  <c r="P41" i="199" s="1"/>
  <c r="F27" i="199"/>
  <c r="I66" i="199"/>
  <c r="O73" i="199" s="1"/>
  <c r="E7" i="199" a="1"/>
  <c r="E7" i="199" s="1"/>
  <c r="P7" i="199" s="1" a="1"/>
  <c r="P7" i="199" s="1"/>
  <c r="F19" i="199"/>
  <c r="F21" i="199"/>
  <c r="F23" i="199"/>
  <c r="F25" i="199"/>
  <c r="P66" i="199" a="1"/>
  <c r="P66" i="199" s="1"/>
  <c r="E5" i="199"/>
  <c r="E2" i="199" s="1"/>
  <c r="E20" i="199" a="1"/>
  <c r="E20" i="199" s="1"/>
  <c r="E22" i="199" a="1"/>
  <c r="E22" i="199" s="1"/>
  <c r="F28" i="199"/>
  <c r="F20" i="199"/>
  <c r="F22" i="199"/>
  <c r="F24" i="199"/>
  <c r="F26" i="199"/>
  <c r="P67" i="198"/>
  <c r="S10" i="198"/>
  <c r="K14" i="198"/>
  <c r="P91" i="198"/>
  <c r="N7" i="198"/>
  <c r="S11" i="198" s="1"/>
  <c r="F27" i="198"/>
  <c r="I66" i="198"/>
  <c r="O73" i="198" s="1"/>
  <c r="S12" i="198"/>
  <c r="H19" i="198"/>
  <c r="H21" i="198"/>
  <c r="I21" i="198" s="1"/>
  <c r="O21" i="198" s="1"/>
  <c r="H23" i="198"/>
  <c r="I23" i="198" s="1"/>
  <c r="O23" i="198" s="1"/>
  <c r="H25" i="198"/>
  <c r="I25" i="198" s="1"/>
  <c r="O25" i="198" s="1"/>
  <c r="F20" i="198"/>
  <c r="F22" i="198"/>
  <c r="F26" i="198"/>
  <c r="H24" i="198"/>
  <c r="I24" i="198" s="1"/>
  <c r="O24" i="198" s="1"/>
  <c r="H28" i="198"/>
  <c r="I28" i="198" s="1"/>
  <c r="O28" i="198" s="1"/>
  <c r="E5" i="198"/>
  <c r="E2" i="198" s="1"/>
  <c r="E22" i="198" a="1"/>
  <c r="E22" i="198" s="1"/>
  <c r="E20" i="198" a="1"/>
  <c r="E20" i="198" s="1"/>
  <c r="S9" i="197"/>
  <c r="I19" i="197"/>
  <c r="O19" i="197" s="1"/>
  <c r="F19" i="197"/>
  <c r="H21" i="197"/>
  <c r="I21" i="197" s="1"/>
  <c r="O21" i="197" s="1"/>
  <c r="S7" i="197" s="1"/>
  <c r="H25" i="197"/>
  <c r="I25" i="197" s="1"/>
  <c r="O25" i="197" s="1"/>
  <c r="P66" i="197" a="1"/>
  <c r="P66" i="197" s="1"/>
  <c r="J7" i="197"/>
  <c r="F27" i="197"/>
  <c r="F23" i="197"/>
  <c r="S12" i="197"/>
  <c r="N7" i="197"/>
  <c r="S11" i="197" s="1"/>
  <c r="P19" i="197"/>
  <c r="P14" i="197"/>
  <c r="P91" i="197" s="1"/>
  <c r="E5" i="197"/>
  <c r="E2" i="197" s="1"/>
  <c r="P67" i="196"/>
  <c r="K14" i="196"/>
  <c r="S10" i="196"/>
  <c r="F21" i="196"/>
  <c r="F25" i="196"/>
  <c r="H27" i="196"/>
  <c r="I27" i="196" s="1"/>
  <c r="O27" i="196" s="1"/>
  <c r="S12" i="196"/>
  <c r="H19" i="196"/>
  <c r="H23" i="196"/>
  <c r="I23" i="196" s="1"/>
  <c r="O23" i="196" s="1"/>
  <c r="P66" i="196" a="1"/>
  <c r="P66" i="196" s="1"/>
  <c r="H28" i="196"/>
  <c r="I28" i="196" s="1"/>
  <c r="O28" i="196" s="1"/>
  <c r="E9" i="196"/>
  <c r="P9" i="196" s="1"/>
  <c r="P91" i="196" s="1"/>
  <c r="F20" i="196"/>
  <c r="F22" i="196"/>
  <c r="F24" i="196"/>
  <c r="F26" i="196"/>
  <c r="E20" i="196" a="1"/>
  <c r="E20" i="196" s="1"/>
  <c r="E22" i="196" a="1"/>
  <c r="E22" i="196" s="1"/>
  <c r="E23" i="194" a="1"/>
  <c r="E23" i="194" s="1"/>
  <c r="J67" i="194"/>
  <c r="M11" i="194"/>
  <c r="S6" i="194" s="1"/>
  <c r="N7" i="194"/>
  <c r="S11" i="194" s="1"/>
  <c r="J7" i="194"/>
  <c r="E64" i="194"/>
  <c r="P64" i="194"/>
  <c r="P67" i="194" s="1"/>
  <c r="L65" i="194"/>
  <c r="L66" i="194" s="1"/>
  <c r="L67" i="194" s="1"/>
  <c r="K14" i="194"/>
  <c r="S10" i="194"/>
  <c r="S9" i="194"/>
  <c r="I19" i="194"/>
  <c r="O19" i="194" s="1"/>
  <c r="E19" i="194" a="1"/>
  <c r="E19" i="194" s="1"/>
  <c r="E21" i="194" a="1"/>
  <c r="E21" i="194" s="1"/>
  <c r="H66" i="194"/>
  <c r="A7" i="194"/>
  <c r="F27" i="194"/>
  <c r="E7" i="194" a="1"/>
  <c r="E7" i="194" s="1"/>
  <c r="P7" i="194" s="1" a="1"/>
  <c r="P7" i="194" s="1"/>
  <c r="F19" i="194"/>
  <c r="F21" i="194"/>
  <c r="F23" i="194"/>
  <c r="F25" i="194"/>
  <c r="E5" i="194"/>
  <c r="E20" i="194" a="1"/>
  <c r="E20" i="194" s="1"/>
  <c r="E22" i="194" a="1"/>
  <c r="E22" i="194" s="1"/>
  <c r="H28" i="194"/>
  <c r="I28" i="194" s="1"/>
  <c r="O28" i="194" s="1"/>
  <c r="F20" i="194"/>
  <c r="H22" i="194"/>
  <c r="I22" i="194" s="1"/>
  <c r="O22" i="194" s="1"/>
  <c r="H24" i="194"/>
  <c r="I24" i="194" s="1"/>
  <c r="O24" i="194" s="1"/>
  <c r="H26" i="194"/>
  <c r="I26" i="194" s="1"/>
  <c r="O26" i="194" s="1"/>
  <c r="P91" i="199" l="1"/>
  <c r="Z6" i="199" s="1"/>
  <c r="P2" i="199" s="1"/>
  <c r="P92" i="199" s="1"/>
  <c r="W6" i="205"/>
  <c r="Z6" i="205"/>
  <c r="P2" i="205" s="1"/>
  <c r="P92" i="205" s="1"/>
  <c r="E2" i="205"/>
  <c r="E2" i="204"/>
  <c r="P91" i="204"/>
  <c r="W6" i="204" s="1"/>
  <c r="P91" i="203"/>
  <c r="Z6" i="203" s="1"/>
  <c r="P2" i="203" s="1"/>
  <c r="P92" i="203" s="1"/>
  <c r="E2" i="203"/>
  <c r="P91" i="202"/>
  <c r="W6" i="202" s="1"/>
  <c r="E2" i="202"/>
  <c r="S7" i="202"/>
  <c r="P91" i="201"/>
  <c r="Z6" i="201" s="1"/>
  <c r="P2" i="201" s="1"/>
  <c r="P92" i="201" s="1"/>
  <c r="E2" i="201"/>
  <c r="S9" i="201"/>
  <c r="I19" i="201"/>
  <c r="O19" i="201" s="1"/>
  <c r="S7" i="201" s="1"/>
  <c r="P91" i="200"/>
  <c r="Z6" i="200" s="1"/>
  <c r="P2" i="200" s="1"/>
  <c r="P92" i="200" s="1"/>
  <c r="E2" i="200"/>
  <c r="S12" i="200"/>
  <c r="I66" i="200"/>
  <c r="O73" i="200" s="1"/>
  <c r="S7" i="200" s="1"/>
  <c r="S9" i="198"/>
  <c r="I19" i="198"/>
  <c r="O19" i="198" s="1"/>
  <c r="S7" i="198" s="1"/>
  <c r="Z6" i="198"/>
  <c r="P2" i="198" s="1"/>
  <c r="P92" i="198" s="1"/>
  <c r="W6" i="198"/>
  <c r="W6" i="197"/>
  <c r="Z6" i="197"/>
  <c r="P2" i="197" s="1"/>
  <c r="P92" i="197" s="1"/>
  <c r="W6" i="196"/>
  <c r="Z6" i="196"/>
  <c r="P2" i="196" s="1"/>
  <c r="P92" i="196" s="1"/>
  <c r="E2" i="196"/>
  <c r="S9" i="196"/>
  <c r="I19" i="196"/>
  <c r="O19" i="196" s="1"/>
  <c r="S7" i="196" s="1"/>
  <c r="E2" i="194"/>
  <c r="P66" i="194" a="1"/>
  <c r="P66" i="194" s="1"/>
  <c r="P91" i="194" s="1"/>
  <c r="S12" i="194"/>
  <c r="I66" i="194"/>
  <c r="O73" i="194" s="1"/>
  <c r="S7" i="194" s="1"/>
  <c r="W6" i="199" l="1"/>
  <c r="W6" i="201"/>
  <c r="Z6" i="204"/>
  <c r="P2" i="204" s="1"/>
  <c r="P92" i="204" s="1"/>
  <c r="W6" i="203"/>
  <c r="Z6" i="202"/>
  <c r="P2" i="202" s="1"/>
  <c r="P92" i="202" s="1"/>
  <c r="W6" i="200"/>
  <c r="Z6" i="194"/>
  <c r="P2" i="194" s="1"/>
  <c r="P92" i="194" s="1"/>
  <c r="W6" i="194"/>
  <c r="P90" i="193"/>
  <c r="O90" i="193"/>
  <c r="K90" i="193"/>
  <c r="I90" i="193"/>
  <c r="G90" i="193"/>
  <c r="P89" i="193"/>
  <c r="O89" i="193"/>
  <c r="K89" i="193"/>
  <c r="I89" i="193"/>
  <c r="G89" i="193"/>
  <c r="P88" i="193"/>
  <c r="O88" i="193"/>
  <c r="K88" i="193"/>
  <c r="I88" i="193"/>
  <c r="G88" i="193"/>
  <c r="P87" i="193"/>
  <c r="O87" i="193"/>
  <c r="K87" i="193"/>
  <c r="I87" i="193"/>
  <c r="G87" i="193"/>
  <c r="P86" i="193"/>
  <c r="O86" i="193"/>
  <c r="K86" i="193"/>
  <c r="I86" i="193"/>
  <c r="G86" i="193"/>
  <c r="P85" i="193"/>
  <c r="O85" i="193"/>
  <c r="K85" i="193"/>
  <c r="I85" i="193"/>
  <c r="G85" i="193"/>
  <c r="P84" i="193"/>
  <c r="O84" i="193"/>
  <c r="K84" i="193"/>
  <c r="I84" i="193"/>
  <c r="G84" i="193"/>
  <c r="P83" i="193"/>
  <c r="O83" i="193"/>
  <c r="K83" i="193"/>
  <c r="I83" i="193"/>
  <c r="G83" i="193"/>
  <c r="P82" i="193"/>
  <c r="O82" i="193"/>
  <c r="K82" i="193"/>
  <c r="I82" i="193"/>
  <c r="G82" i="193"/>
  <c r="P81" i="193"/>
  <c r="O81" i="193"/>
  <c r="K81" i="193"/>
  <c r="I81" i="193"/>
  <c r="G81" i="193"/>
  <c r="P80" i="193"/>
  <c r="O80" i="193"/>
  <c r="K80" i="193"/>
  <c r="I80" i="193"/>
  <c r="G80" i="193"/>
  <c r="P79" i="193"/>
  <c r="O79" i="193"/>
  <c r="K79" i="193"/>
  <c r="I79" i="193"/>
  <c r="G79" i="193"/>
  <c r="P78" i="193"/>
  <c r="O78" i="193"/>
  <c r="K78" i="193"/>
  <c r="I78" i="193"/>
  <c r="G78" i="193"/>
  <c r="P77" i="193"/>
  <c r="O77" i="193"/>
  <c r="K77" i="193"/>
  <c r="I77" i="193"/>
  <c r="G77" i="193"/>
  <c r="P76" i="193"/>
  <c r="O76" i="193"/>
  <c r="K76" i="193"/>
  <c r="I76" i="193"/>
  <c r="G76" i="193"/>
  <c r="P75" i="193"/>
  <c r="O75" i="193"/>
  <c r="K75" i="193"/>
  <c r="I75" i="193"/>
  <c r="G75" i="193"/>
  <c r="P74" i="193"/>
  <c r="O74" i="193"/>
  <c r="K74" i="193"/>
  <c r="I74" i="193"/>
  <c r="G74" i="193"/>
  <c r="P73" i="193"/>
  <c r="K73" i="193"/>
  <c r="I73" i="193"/>
  <c r="G73" i="193"/>
  <c r="P71" i="193"/>
  <c r="O71" i="193"/>
  <c r="K71" i="193"/>
  <c r="G71" i="193"/>
  <c r="P70" i="193"/>
  <c r="O70" i="193"/>
  <c r="N70" i="193"/>
  <c r="K70" i="193"/>
  <c r="G70" i="193"/>
  <c r="P69" i="193"/>
  <c r="O69" i="193"/>
  <c r="N69" i="193"/>
  <c r="K69" i="193"/>
  <c r="G69" i="193"/>
  <c r="N67" i="193"/>
  <c r="H66" i="193"/>
  <c r="S12" i="193" s="1"/>
  <c r="F66" i="193"/>
  <c r="F66" i="193" a="1"/>
  <c r="P65" i="193"/>
  <c r="L65" i="193"/>
  <c r="L66" i="193" s="1"/>
  <c r="L67" i="193" s="1"/>
  <c r="K65" i="193"/>
  <c r="E65" i="193"/>
  <c r="O64" i="193"/>
  <c r="M64" i="193"/>
  <c r="L64" i="193"/>
  <c r="P64" i="193" s="1"/>
  <c r="K64" i="193"/>
  <c r="J64" i="193"/>
  <c r="J67" i="193" s="1"/>
  <c r="H64" i="193"/>
  <c r="I64" i="193" s="1"/>
  <c r="E64" i="193"/>
  <c r="E57" i="193"/>
  <c r="P57" i="193" s="1"/>
  <c r="O56" i="193"/>
  <c r="N56" i="193"/>
  <c r="L56" i="193"/>
  <c r="K56" i="193"/>
  <c r="H56" i="193"/>
  <c r="F56" i="193"/>
  <c r="P56" i="193" s="1"/>
  <c r="E56" i="193"/>
  <c r="O55" i="193"/>
  <c r="N55" i="193"/>
  <c r="L55" i="193"/>
  <c r="K55" i="193"/>
  <c r="H55" i="193"/>
  <c r="F55" i="193"/>
  <c r="P55" i="193" s="1"/>
  <c r="E55" i="193"/>
  <c r="O54" i="193"/>
  <c r="N54" i="193"/>
  <c r="L54" i="193"/>
  <c r="K54" i="193"/>
  <c r="H54" i="193"/>
  <c r="F54" i="193"/>
  <c r="P54" i="193" s="1"/>
  <c r="E54" i="193"/>
  <c r="O53" i="193"/>
  <c r="N53" i="193"/>
  <c r="L53" i="193"/>
  <c r="K53" i="193"/>
  <c r="H53" i="193"/>
  <c r="F53" i="193"/>
  <c r="P53" i="193" s="1"/>
  <c r="E53" i="193"/>
  <c r="O52" i="193"/>
  <c r="N52" i="193"/>
  <c r="L52" i="193"/>
  <c r="K52" i="193"/>
  <c r="H52" i="193"/>
  <c r="F52" i="193"/>
  <c r="P52" i="193" s="1"/>
  <c r="E52" i="193"/>
  <c r="O51" i="193"/>
  <c r="N51" i="193"/>
  <c r="L51" i="193"/>
  <c r="K51" i="193"/>
  <c r="H51" i="193"/>
  <c r="F51" i="193"/>
  <c r="P51" i="193" s="1"/>
  <c r="E51" i="193"/>
  <c r="O50" i="193"/>
  <c r="N50" i="193"/>
  <c r="L50" i="193"/>
  <c r="K50" i="193"/>
  <c r="H50" i="193"/>
  <c r="F50" i="193"/>
  <c r="P50" i="193" s="1"/>
  <c r="E50" i="193"/>
  <c r="O49" i="193"/>
  <c r="N49" i="193"/>
  <c r="L49" i="193"/>
  <c r="K49" i="193"/>
  <c r="H49" i="193"/>
  <c r="F49" i="193"/>
  <c r="P49" i="193" s="1"/>
  <c r="E49" i="193"/>
  <c r="O48" i="193"/>
  <c r="N48" i="193"/>
  <c r="L48" i="193"/>
  <c r="K48" i="193"/>
  <c r="H48" i="193"/>
  <c r="F48" i="193"/>
  <c r="P48" i="193" s="1"/>
  <c r="E48" i="193"/>
  <c r="O47" i="193"/>
  <c r="N47" i="193"/>
  <c r="L47" i="193"/>
  <c r="K47" i="193"/>
  <c r="H47" i="193"/>
  <c r="F47" i="193"/>
  <c r="P47" i="193" s="1"/>
  <c r="E47" i="193"/>
  <c r="O46" i="193"/>
  <c r="N46" i="193"/>
  <c r="L46" i="193"/>
  <c r="K46" i="193"/>
  <c r="H46" i="193"/>
  <c r="F46" i="193"/>
  <c r="P46" i="193" s="1"/>
  <c r="E46" i="193"/>
  <c r="O45" i="193"/>
  <c r="N45" i="193"/>
  <c r="L45" i="193"/>
  <c r="K45" i="193"/>
  <c r="H45" i="193"/>
  <c r="F45" i="193"/>
  <c r="P45" i="193" s="1"/>
  <c r="E45" i="193"/>
  <c r="O44" i="193"/>
  <c r="N44" i="193"/>
  <c r="L44" i="193"/>
  <c r="K44" i="193"/>
  <c r="H44" i="193"/>
  <c r="F44" i="193"/>
  <c r="P44" i="193" s="1"/>
  <c r="E44" i="193"/>
  <c r="O43" i="193"/>
  <c r="N43" i="193"/>
  <c r="K43" i="193"/>
  <c r="H43" i="193"/>
  <c r="F43" i="193"/>
  <c r="P43" i="193" s="1"/>
  <c r="E43" i="193"/>
  <c r="O42" i="193"/>
  <c r="N42" i="193"/>
  <c r="K42" i="193"/>
  <c r="H42" i="193"/>
  <c r="F42" i="193"/>
  <c r="P42" i="193" s="1"/>
  <c r="E42" i="193"/>
  <c r="O41" i="193"/>
  <c r="N41" i="193"/>
  <c r="L41" i="193"/>
  <c r="K41" i="193"/>
  <c r="H41" i="193"/>
  <c r="F41" i="193"/>
  <c r="P41" i="193" s="1"/>
  <c r="E41" i="193"/>
  <c r="O40" i="193"/>
  <c r="N40" i="193"/>
  <c r="L40" i="193"/>
  <c r="K40" i="193"/>
  <c r="H40" i="193"/>
  <c r="F40" i="193"/>
  <c r="P40" i="193" s="1"/>
  <c r="E40" i="193"/>
  <c r="O39" i="193"/>
  <c r="N39" i="193"/>
  <c r="L39" i="193"/>
  <c r="K39" i="193"/>
  <c r="H39" i="193"/>
  <c r="F39" i="193"/>
  <c r="P39" i="193" s="1"/>
  <c r="E39" i="193"/>
  <c r="O38" i="193"/>
  <c r="N38" i="193"/>
  <c r="L38" i="193"/>
  <c r="K38" i="193"/>
  <c r="H38" i="193"/>
  <c r="F38" i="193"/>
  <c r="P38" i="193" s="1"/>
  <c r="E38" i="193"/>
  <c r="O37" i="193"/>
  <c r="N37" i="193"/>
  <c r="L37" i="193"/>
  <c r="K37" i="193"/>
  <c r="H37" i="193"/>
  <c r="F37" i="193"/>
  <c r="P37" i="193" s="1"/>
  <c r="E37" i="193"/>
  <c r="O36" i="193"/>
  <c r="N36" i="193"/>
  <c r="L36" i="193"/>
  <c r="K36" i="193"/>
  <c r="H36" i="193"/>
  <c r="F36" i="193"/>
  <c r="P36" i="193" s="1"/>
  <c r="E36" i="193"/>
  <c r="O34" i="193"/>
  <c r="N34" i="193"/>
  <c r="K34" i="193"/>
  <c r="H34" i="193"/>
  <c r="F34" i="193"/>
  <c r="P34" i="193" s="1"/>
  <c r="E34" i="193"/>
  <c r="O33" i="193"/>
  <c r="N33" i="193"/>
  <c r="K33" i="193"/>
  <c r="H33" i="193"/>
  <c r="F33" i="193"/>
  <c r="P33" i="193" s="1"/>
  <c r="E33" i="193"/>
  <c r="O32" i="193"/>
  <c r="N32" i="193"/>
  <c r="K32" i="193"/>
  <c r="H32" i="193"/>
  <c r="F32" i="193"/>
  <c r="P32" i="193" s="1"/>
  <c r="E32" i="193"/>
  <c r="O31" i="193"/>
  <c r="N31" i="193"/>
  <c r="K31" i="193"/>
  <c r="H31" i="193"/>
  <c r="F31" i="193"/>
  <c r="P31" i="193" s="1"/>
  <c r="E31" i="193"/>
  <c r="O30" i="193"/>
  <c r="N30" i="193"/>
  <c r="K30" i="193"/>
  <c r="H30" i="193"/>
  <c r="F30" i="193"/>
  <c r="P30" i="193" s="1"/>
  <c r="E30" i="193"/>
  <c r="P28" i="193"/>
  <c r="J28" i="193"/>
  <c r="H28" i="193"/>
  <c r="I28" i="193" s="1"/>
  <c r="O28" i="193" s="1"/>
  <c r="F28" i="193"/>
  <c r="D28" i="193"/>
  <c r="L28" i="193" s="1"/>
  <c r="M28" i="193" s="1"/>
  <c r="C28" i="193"/>
  <c r="A28" i="193"/>
  <c r="P27" i="193"/>
  <c r="J27" i="193"/>
  <c r="D27" i="193"/>
  <c r="L27" i="193" s="1"/>
  <c r="M27" i="193" s="1"/>
  <c r="C27" i="193"/>
  <c r="H27" i="193" s="1"/>
  <c r="I27" i="193" s="1"/>
  <c r="O27" i="193" s="1"/>
  <c r="A27" i="193"/>
  <c r="P26" i="193"/>
  <c r="L26" i="193"/>
  <c r="M26" i="193" s="1"/>
  <c r="J26" i="193"/>
  <c r="E26" i="193" a="1"/>
  <c r="E26" i="193" s="1"/>
  <c r="D26" i="193"/>
  <c r="C26" i="193"/>
  <c r="H26" i="193" s="1"/>
  <c r="I26" i="193" s="1"/>
  <c r="O26" i="193" s="1"/>
  <c r="P25" i="193"/>
  <c r="J25" i="193"/>
  <c r="E25" i="193" a="1"/>
  <c r="E25" i="193" s="1"/>
  <c r="D25" i="193"/>
  <c r="L25" i="193" s="1"/>
  <c r="M25" i="193" s="1"/>
  <c r="C25" i="193"/>
  <c r="H25" i="193" s="1"/>
  <c r="I25" i="193" s="1"/>
  <c r="O25" i="193" s="1"/>
  <c r="P24" i="193"/>
  <c r="J24" i="193"/>
  <c r="E24" i="193" a="1"/>
  <c r="E24" i="193" s="1"/>
  <c r="D24" i="193"/>
  <c r="L24" i="193" s="1"/>
  <c r="M24" i="193" s="1"/>
  <c r="C24" i="193"/>
  <c r="H24" i="193" s="1"/>
  <c r="I24" i="193" s="1"/>
  <c r="O24" i="193" s="1"/>
  <c r="P23" i="193"/>
  <c r="J23" i="193"/>
  <c r="E23" i="193" a="1"/>
  <c r="E23" i="193" s="1"/>
  <c r="D23" i="193"/>
  <c r="L23" i="193" s="1"/>
  <c r="M23" i="193" s="1"/>
  <c r="C23" i="193"/>
  <c r="H23" i="193" s="1"/>
  <c r="I23" i="193" s="1"/>
  <c r="O23" i="193" s="1"/>
  <c r="P22" i="193"/>
  <c r="J22" i="193"/>
  <c r="E22" i="193" a="1"/>
  <c r="E22" i="193" s="1"/>
  <c r="D22" i="193"/>
  <c r="L22" i="193" s="1"/>
  <c r="M22" i="193" s="1"/>
  <c r="C22" i="193"/>
  <c r="H22" i="193" s="1"/>
  <c r="I22" i="193" s="1"/>
  <c r="O22" i="193" s="1"/>
  <c r="P21" i="193"/>
  <c r="J21" i="193"/>
  <c r="E21" i="193" a="1"/>
  <c r="E21" i="193" s="1"/>
  <c r="D21" i="193"/>
  <c r="L21" i="193" s="1"/>
  <c r="M21" i="193" s="1"/>
  <c r="C21" i="193"/>
  <c r="H21" i="193" s="1"/>
  <c r="I21" i="193" s="1"/>
  <c r="O21" i="193" s="1"/>
  <c r="P20" i="193"/>
  <c r="J20" i="193"/>
  <c r="D20" i="193"/>
  <c r="L20" i="193" s="1"/>
  <c r="M20" i="193" s="1"/>
  <c r="C20" i="193"/>
  <c r="H20" i="193" s="1"/>
  <c r="I20" i="193" s="1"/>
  <c r="O20" i="193" s="1"/>
  <c r="P19" i="193"/>
  <c r="J19" i="193"/>
  <c r="E19" i="193" a="1"/>
  <c r="E19" i="193" s="1"/>
  <c r="D19" i="193"/>
  <c r="L19" i="193" s="1"/>
  <c r="M19" i="193" s="1"/>
  <c r="C19" i="193"/>
  <c r="H19" i="193" s="1"/>
  <c r="P17" i="193"/>
  <c r="N17" i="193"/>
  <c r="E17" i="193"/>
  <c r="P16" i="193"/>
  <c r="N16" i="193"/>
  <c r="E16" i="193"/>
  <c r="P15" i="193"/>
  <c r="N15" i="193"/>
  <c r="J15" i="193"/>
  <c r="J16" i="193" s="1"/>
  <c r="E15" i="193"/>
  <c r="P14" i="193"/>
  <c r="J14" i="193"/>
  <c r="S13" i="193"/>
  <c r="P13" i="193"/>
  <c r="O13" i="193"/>
  <c r="J13" i="193"/>
  <c r="P11" i="193"/>
  <c r="J11" i="193"/>
  <c r="M11" i="193" s="1"/>
  <c r="S6" i="193" s="1"/>
  <c r="P10" i="193"/>
  <c r="J10" i="193"/>
  <c r="E10" i="193"/>
  <c r="O9" i="193"/>
  <c r="S8" i="193"/>
  <c r="P8" i="193"/>
  <c r="J8" i="193"/>
  <c r="J9" i="193" s="1"/>
  <c r="L7" i="193"/>
  <c r="F7" i="193"/>
  <c r="X6" i="193"/>
  <c r="O92" i="193" s="1"/>
  <c r="V6" i="193"/>
  <c r="U6" i="193"/>
  <c r="T6" i="193"/>
  <c r="R6" i="193"/>
  <c r="P5" i="193"/>
  <c r="N5" i="193"/>
  <c r="M5" i="193"/>
  <c r="K5" i="193"/>
  <c r="J5" i="193"/>
  <c r="N4" i="193"/>
  <c r="M4" i="193"/>
  <c r="J4" i="193"/>
  <c r="F4" i="193"/>
  <c r="E4" i="193"/>
  <c r="E20" i="193" s="1" a="1"/>
  <c r="E20" i="193" s="1"/>
  <c r="P90" i="191"/>
  <c r="O90" i="191"/>
  <c r="K90" i="191"/>
  <c r="I90" i="191"/>
  <c r="G90" i="191"/>
  <c r="P89" i="191"/>
  <c r="O89" i="191"/>
  <c r="K89" i="191"/>
  <c r="I89" i="191"/>
  <c r="G89" i="191"/>
  <c r="P88" i="191"/>
  <c r="O88" i="191"/>
  <c r="K88" i="191"/>
  <c r="I88" i="191"/>
  <c r="G88" i="191"/>
  <c r="P87" i="191"/>
  <c r="O87" i="191"/>
  <c r="K87" i="191"/>
  <c r="I87" i="191"/>
  <c r="G87" i="191"/>
  <c r="P86" i="191"/>
  <c r="O86" i="191"/>
  <c r="K86" i="191"/>
  <c r="I86" i="191"/>
  <c r="G86" i="191"/>
  <c r="P85" i="191"/>
  <c r="O85" i="191"/>
  <c r="K85" i="191"/>
  <c r="I85" i="191"/>
  <c r="G85" i="191"/>
  <c r="P84" i="191"/>
  <c r="O84" i="191"/>
  <c r="K84" i="191"/>
  <c r="I84" i="191"/>
  <c r="G84" i="191"/>
  <c r="P83" i="191"/>
  <c r="O83" i="191"/>
  <c r="K83" i="191"/>
  <c r="I83" i="191"/>
  <c r="G83" i="191"/>
  <c r="P82" i="191"/>
  <c r="O82" i="191"/>
  <c r="K82" i="191"/>
  <c r="I82" i="191"/>
  <c r="G82" i="191"/>
  <c r="P81" i="191"/>
  <c r="O81" i="191"/>
  <c r="K81" i="191"/>
  <c r="I81" i="191"/>
  <c r="G81" i="191"/>
  <c r="P80" i="191"/>
  <c r="O80" i="191"/>
  <c r="K80" i="191"/>
  <c r="I80" i="191"/>
  <c r="G80" i="191"/>
  <c r="P79" i="191"/>
  <c r="O79" i="191"/>
  <c r="K79" i="191"/>
  <c r="I79" i="191"/>
  <c r="G79" i="191"/>
  <c r="P78" i="191"/>
  <c r="O78" i="191"/>
  <c r="K78" i="191"/>
  <c r="I78" i="191"/>
  <c r="G78" i="191"/>
  <c r="P77" i="191"/>
  <c r="O77" i="191"/>
  <c r="K77" i="191"/>
  <c r="I77" i="191"/>
  <c r="G77" i="191"/>
  <c r="P76" i="191"/>
  <c r="O76" i="191"/>
  <c r="K76" i="191"/>
  <c r="I76" i="191"/>
  <c r="G76" i="191"/>
  <c r="P75" i="191"/>
  <c r="O75" i="191"/>
  <c r="K75" i="191"/>
  <c r="I75" i="191"/>
  <c r="G75" i="191"/>
  <c r="P74" i="191"/>
  <c r="O74" i="191"/>
  <c r="K74" i="191"/>
  <c r="I74" i="191"/>
  <c r="G74" i="191"/>
  <c r="P73" i="191"/>
  <c r="K73" i="191"/>
  <c r="I73" i="191"/>
  <c r="G73" i="191"/>
  <c r="P71" i="191"/>
  <c r="O71" i="191"/>
  <c r="K71" i="191"/>
  <c r="G71" i="191"/>
  <c r="P70" i="191"/>
  <c r="O70" i="191"/>
  <c r="N70" i="191"/>
  <c r="K70" i="191"/>
  <c r="G70" i="191"/>
  <c r="P69" i="191"/>
  <c r="O69" i="191"/>
  <c r="N69" i="191"/>
  <c r="K69" i="191"/>
  <c r="G69" i="191"/>
  <c r="N67" i="191"/>
  <c r="F66" i="191" a="1"/>
  <c r="F66" i="191" s="1"/>
  <c r="P65" i="191"/>
  <c r="L65" i="191"/>
  <c r="K65" i="191"/>
  <c r="E65" i="191"/>
  <c r="O64" i="191"/>
  <c r="M64" i="191"/>
  <c r="L64" i="191"/>
  <c r="K64" i="191"/>
  <c r="J64" i="191"/>
  <c r="J67" i="191" s="1"/>
  <c r="H64" i="191"/>
  <c r="I64" i="191" s="1"/>
  <c r="P57" i="191"/>
  <c r="E57" i="191"/>
  <c r="O56" i="191"/>
  <c r="N56" i="191"/>
  <c r="L56" i="191"/>
  <c r="K56" i="191"/>
  <c r="H56" i="191"/>
  <c r="F56" i="191"/>
  <c r="P56" i="191" s="1"/>
  <c r="E56" i="191"/>
  <c r="O55" i="191"/>
  <c r="N55" i="191"/>
  <c r="L55" i="191"/>
  <c r="K55" i="191"/>
  <c r="H55" i="191"/>
  <c r="F55" i="191"/>
  <c r="P55" i="191" s="1"/>
  <c r="E55" i="191"/>
  <c r="O54" i="191"/>
  <c r="N54" i="191"/>
  <c r="L54" i="191"/>
  <c r="K54" i="191"/>
  <c r="H54" i="191"/>
  <c r="F54" i="191"/>
  <c r="P54" i="191" s="1"/>
  <c r="E54" i="191"/>
  <c r="O53" i="191"/>
  <c r="N53" i="191"/>
  <c r="L53" i="191"/>
  <c r="K53" i="191"/>
  <c r="H53" i="191"/>
  <c r="F53" i="191"/>
  <c r="P53" i="191" s="1"/>
  <c r="E53" i="191"/>
  <c r="O52" i="191"/>
  <c r="N52" i="191"/>
  <c r="L52" i="191"/>
  <c r="K52" i="191"/>
  <c r="H52" i="191"/>
  <c r="F52" i="191"/>
  <c r="P52" i="191" s="1"/>
  <c r="E52" i="191"/>
  <c r="O51" i="191"/>
  <c r="N51" i="191"/>
  <c r="L51" i="191"/>
  <c r="K51" i="191"/>
  <c r="H51" i="191"/>
  <c r="F51" i="191"/>
  <c r="P51" i="191" s="1"/>
  <c r="E51" i="191"/>
  <c r="O50" i="191"/>
  <c r="N50" i="191"/>
  <c r="L50" i="191"/>
  <c r="K50" i="191"/>
  <c r="H50" i="191"/>
  <c r="F50" i="191"/>
  <c r="P50" i="191" s="1"/>
  <c r="E50" i="191"/>
  <c r="O49" i="191"/>
  <c r="N49" i="191"/>
  <c r="L49" i="191"/>
  <c r="K49" i="191"/>
  <c r="H49" i="191"/>
  <c r="F49" i="191"/>
  <c r="P49" i="191" s="1"/>
  <c r="E49" i="191"/>
  <c r="O48" i="191"/>
  <c r="N48" i="191"/>
  <c r="L48" i="191"/>
  <c r="K48" i="191"/>
  <c r="H48" i="191"/>
  <c r="F48" i="191"/>
  <c r="P48" i="191" s="1"/>
  <c r="E48" i="191"/>
  <c r="O47" i="191"/>
  <c r="N47" i="191"/>
  <c r="L47" i="191"/>
  <c r="K47" i="191"/>
  <c r="H47" i="191"/>
  <c r="F47" i="191"/>
  <c r="P47" i="191" s="1"/>
  <c r="E47" i="191"/>
  <c r="O46" i="191"/>
  <c r="N46" i="191"/>
  <c r="L46" i="191"/>
  <c r="K46" i="191"/>
  <c r="H46" i="191"/>
  <c r="F46" i="191"/>
  <c r="P46" i="191" s="1"/>
  <c r="E46" i="191"/>
  <c r="O45" i="191"/>
  <c r="N45" i="191"/>
  <c r="L45" i="191"/>
  <c r="K45" i="191"/>
  <c r="H45" i="191"/>
  <c r="F45" i="191"/>
  <c r="P45" i="191" s="1"/>
  <c r="E45" i="191"/>
  <c r="O44" i="191"/>
  <c r="N44" i="191"/>
  <c r="L44" i="191"/>
  <c r="K44" i="191"/>
  <c r="H44" i="191"/>
  <c r="F44" i="191"/>
  <c r="P44" i="191" s="1"/>
  <c r="E44" i="191"/>
  <c r="O43" i="191"/>
  <c r="N43" i="191"/>
  <c r="L43" i="191"/>
  <c r="K43" i="191"/>
  <c r="H43" i="191"/>
  <c r="F43" i="191"/>
  <c r="P43" i="191" s="1"/>
  <c r="E43" i="191"/>
  <c r="O42" i="191"/>
  <c r="N42" i="191"/>
  <c r="L42" i="191"/>
  <c r="K42" i="191"/>
  <c r="H42" i="191"/>
  <c r="F42" i="191"/>
  <c r="P42" i="191" s="1"/>
  <c r="E42" i="191"/>
  <c r="O41" i="191"/>
  <c r="N41" i="191"/>
  <c r="L41" i="191"/>
  <c r="K41" i="191"/>
  <c r="H41" i="191"/>
  <c r="F41" i="191"/>
  <c r="P41" i="191" s="1"/>
  <c r="E41" i="191"/>
  <c r="O40" i="191"/>
  <c r="N40" i="191"/>
  <c r="L40" i="191"/>
  <c r="K40" i="191"/>
  <c r="H40" i="191"/>
  <c r="F40" i="191"/>
  <c r="P40" i="191" s="1"/>
  <c r="E40" i="191"/>
  <c r="O39" i="191"/>
  <c r="N39" i="191"/>
  <c r="L39" i="191"/>
  <c r="K39" i="191"/>
  <c r="H39" i="191"/>
  <c r="F39" i="191"/>
  <c r="P39" i="191" s="1"/>
  <c r="E39" i="191"/>
  <c r="O38" i="191"/>
  <c r="N38" i="191"/>
  <c r="L38" i="191"/>
  <c r="K38" i="191"/>
  <c r="H38" i="191"/>
  <c r="F38" i="191"/>
  <c r="P38" i="191" s="1"/>
  <c r="E38" i="191"/>
  <c r="O37" i="191"/>
  <c r="N37" i="191"/>
  <c r="L37" i="191"/>
  <c r="K37" i="191"/>
  <c r="H37" i="191"/>
  <c r="F37" i="191"/>
  <c r="P37" i="191" s="1"/>
  <c r="E37" i="191"/>
  <c r="O36" i="191"/>
  <c r="N36" i="191"/>
  <c r="L36" i="191"/>
  <c r="K36" i="191"/>
  <c r="H36" i="191"/>
  <c r="F36" i="191"/>
  <c r="P36" i="191" s="1"/>
  <c r="E36" i="191"/>
  <c r="O34" i="191"/>
  <c r="N34" i="191"/>
  <c r="K34" i="191"/>
  <c r="H34" i="191"/>
  <c r="F34" i="191"/>
  <c r="P34" i="191" s="1"/>
  <c r="E34" i="191"/>
  <c r="O33" i="191"/>
  <c r="N33" i="191"/>
  <c r="K33" i="191"/>
  <c r="H33" i="191"/>
  <c r="F33" i="191"/>
  <c r="P33" i="191" s="1"/>
  <c r="E33" i="191"/>
  <c r="O32" i="191"/>
  <c r="N32" i="191"/>
  <c r="K32" i="191"/>
  <c r="H32" i="191"/>
  <c r="F32" i="191"/>
  <c r="P32" i="191" s="1"/>
  <c r="E32" i="191"/>
  <c r="O31" i="191"/>
  <c r="N31" i="191"/>
  <c r="K31" i="191"/>
  <c r="H31" i="191"/>
  <c r="F31" i="191"/>
  <c r="P31" i="191" s="1"/>
  <c r="E31" i="191"/>
  <c r="O30" i="191"/>
  <c r="N30" i="191"/>
  <c r="K30" i="191"/>
  <c r="H30" i="191"/>
  <c r="F30" i="191"/>
  <c r="P30" i="191" s="1"/>
  <c r="E30" i="191"/>
  <c r="P28" i="191"/>
  <c r="J28" i="191"/>
  <c r="D28" i="191"/>
  <c r="L28" i="191" s="1"/>
  <c r="M28" i="191" s="1"/>
  <c r="C28" i="191"/>
  <c r="H28" i="191" s="1"/>
  <c r="I28" i="191" s="1"/>
  <c r="O28" i="191" s="1"/>
  <c r="A28" i="191"/>
  <c r="P27" i="191"/>
  <c r="J27" i="191"/>
  <c r="H27" i="191"/>
  <c r="I27" i="191" s="1"/>
  <c r="O27" i="191" s="1"/>
  <c r="D27" i="191"/>
  <c r="L27" i="191" s="1"/>
  <c r="M27" i="191" s="1"/>
  <c r="C27" i="191"/>
  <c r="F27" i="191" s="1"/>
  <c r="A27" i="191"/>
  <c r="P26" i="191"/>
  <c r="J26" i="191"/>
  <c r="E26" i="191" a="1"/>
  <c r="E26" i="191" s="1"/>
  <c r="D26" i="191"/>
  <c r="L26" i="191" s="1"/>
  <c r="M26" i="191" s="1"/>
  <c r="C26" i="191"/>
  <c r="H26" i="191" s="1"/>
  <c r="I26" i="191" s="1"/>
  <c r="O26" i="191" s="1"/>
  <c r="P25" i="191"/>
  <c r="L25" i="191"/>
  <c r="M25" i="191" s="1"/>
  <c r="J25" i="191"/>
  <c r="F25" i="191"/>
  <c r="E25" i="191" a="1"/>
  <c r="E25" i="191" s="1"/>
  <c r="D25" i="191"/>
  <c r="C25" i="191"/>
  <c r="H25" i="191" s="1"/>
  <c r="I25" i="191" s="1"/>
  <c r="O25" i="191" s="1"/>
  <c r="P24" i="191"/>
  <c r="J24" i="191"/>
  <c r="E24" i="191" a="1"/>
  <c r="E24" i="191" s="1"/>
  <c r="D24" i="191"/>
  <c r="L24" i="191" s="1"/>
  <c r="M24" i="191" s="1"/>
  <c r="C24" i="191"/>
  <c r="H24" i="191" s="1"/>
  <c r="I24" i="191" s="1"/>
  <c r="O24" i="191" s="1"/>
  <c r="P23" i="191"/>
  <c r="L23" i="191"/>
  <c r="M23" i="191" s="1"/>
  <c r="J23" i="191"/>
  <c r="F23" i="191"/>
  <c r="E23" i="191" a="1"/>
  <c r="E23" i="191" s="1"/>
  <c r="D23" i="191"/>
  <c r="C23" i="191"/>
  <c r="H23" i="191" s="1"/>
  <c r="I23" i="191" s="1"/>
  <c r="O23" i="191" s="1"/>
  <c r="P22" i="191"/>
  <c r="J22" i="191"/>
  <c r="E22" i="191" a="1"/>
  <c r="E22" i="191" s="1"/>
  <c r="D22" i="191"/>
  <c r="L22" i="191" s="1"/>
  <c r="M22" i="191" s="1"/>
  <c r="C22" i="191"/>
  <c r="H22" i="191" s="1"/>
  <c r="I22" i="191" s="1"/>
  <c r="O22" i="191" s="1"/>
  <c r="P21" i="191"/>
  <c r="L21" i="191"/>
  <c r="M21" i="191" s="1"/>
  <c r="J21" i="191"/>
  <c r="F21" i="191"/>
  <c r="D21" i="191"/>
  <c r="C21" i="191"/>
  <c r="H21" i="191" s="1"/>
  <c r="I21" i="191" s="1"/>
  <c r="O21" i="191" s="1"/>
  <c r="P20" i="191"/>
  <c r="J20" i="191"/>
  <c r="E20" i="191" a="1"/>
  <c r="E20" i="191" s="1"/>
  <c r="D20" i="191"/>
  <c r="L20" i="191" s="1"/>
  <c r="M20" i="191" s="1"/>
  <c r="C20" i="191"/>
  <c r="H20" i="191" s="1"/>
  <c r="I20" i="191" s="1"/>
  <c r="O20" i="191" s="1"/>
  <c r="P19" i="191"/>
  <c r="L19" i="191"/>
  <c r="M19" i="191" s="1"/>
  <c r="J19" i="191"/>
  <c r="F19" i="191"/>
  <c r="D19" i="191"/>
  <c r="C19" i="191"/>
  <c r="H19" i="191" s="1"/>
  <c r="P17" i="191"/>
  <c r="N17" i="191"/>
  <c r="E17" i="191"/>
  <c r="P16" i="191"/>
  <c r="N16" i="191"/>
  <c r="E16" i="191"/>
  <c r="N15" i="191"/>
  <c r="J15" i="191"/>
  <c r="J16" i="191" s="1"/>
  <c r="E15" i="191"/>
  <c r="P15" i="191" s="1"/>
  <c r="P14" i="191"/>
  <c r="J14" i="191"/>
  <c r="S13" i="191"/>
  <c r="P13" i="191"/>
  <c r="O13" i="191"/>
  <c r="P11" i="191"/>
  <c r="J11" i="191"/>
  <c r="P10" i="191"/>
  <c r="J10" i="191"/>
  <c r="E10" i="191"/>
  <c r="O9" i="191"/>
  <c r="S8" i="191"/>
  <c r="P8" i="191"/>
  <c r="J8" i="191"/>
  <c r="J9" i="191" s="1"/>
  <c r="L7" i="191"/>
  <c r="F7" i="191"/>
  <c r="E7" i="191" a="1"/>
  <c r="E7" i="191" s="1"/>
  <c r="P7" i="191" s="1" a="1"/>
  <c r="P7" i="191" s="1"/>
  <c r="X6" i="191"/>
  <c r="O92" i="191" s="1"/>
  <c r="V6" i="191"/>
  <c r="U6" i="191"/>
  <c r="T6" i="191"/>
  <c r="R6" i="191"/>
  <c r="P5" i="191"/>
  <c r="N5" i="191"/>
  <c r="M5" i="191"/>
  <c r="K5" i="191"/>
  <c r="J5" i="191"/>
  <c r="J13" i="191" s="1"/>
  <c r="E5" i="191"/>
  <c r="N4" i="191"/>
  <c r="M4" i="191"/>
  <c r="J4" i="191"/>
  <c r="M11" i="191" s="1"/>
  <c r="S6" i="191" s="1"/>
  <c r="F4" i="191"/>
  <c r="E4" i="191"/>
  <c r="E9" i="191" s="1"/>
  <c r="P9" i="191" s="1"/>
  <c r="P90" i="190"/>
  <c r="O90" i="190"/>
  <c r="K90" i="190"/>
  <c r="I90" i="190"/>
  <c r="G90" i="190"/>
  <c r="P89" i="190"/>
  <c r="O89" i="190"/>
  <c r="K89" i="190"/>
  <c r="I89" i="190"/>
  <c r="G89" i="190"/>
  <c r="P88" i="190"/>
  <c r="O88" i="190"/>
  <c r="K88" i="190"/>
  <c r="I88" i="190"/>
  <c r="G88" i="190"/>
  <c r="P87" i="190"/>
  <c r="O87" i="190"/>
  <c r="K87" i="190"/>
  <c r="I87" i="190"/>
  <c r="G87" i="190"/>
  <c r="P86" i="190"/>
  <c r="O86" i="190"/>
  <c r="K86" i="190"/>
  <c r="I86" i="190"/>
  <c r="G86" i="190"/>
  <c r="P85" i="190"/>
  <c r="O85" i="190"/>
  <c r="K85" i="190"/>
  <c r="I85" i="190"/>
  <c r="G85" i="190"/>
  <c r="P84" i="190"/>
  <c r="O84" i="190"/>
  <c r="K84" i="190"/>
  <c r="I84" i="190"/>
  <c r="G84" i="190"/>
  <c r="P83" i="190"/>
  <c r="O83" i="190"/>
  <c r="K83" i="190"/>
  <c r="I83" i="190"/>
  <c r="G83" i="190"/>
  <c r="P82" i="190"/>
  <c r="O82" i="190"/>
  <c r="K82" i="190"/>
  <c r="I82" i="190"/>
  <c r="G82" i="190"/>
  <c r="P81" i="190"/>
  <c r="O81" i="190"/>
  <c r="K81" i="190"/>
  <c r="I81" i="190"/>
  <c r="G81" i="190"/>
  <c r="P80" i="190"/>
  <c r="O80" i="190"/>
  <c r="K80" i="190"/>
  <c r="I80" i="190"/>
  <c r="G80" i="190"/>
  <c r="P79" i="190"/>
  <c r="O79" i="190"/>
  <c r="K79" i="190"/>
  <c r="I79" i="190"/>
  <c r="G79" i="190"/>
  <c r="P78" i="190"/>
  <c r="O78" i="190"/>
  <c r="K78" i="190"/>
  <c r="I78" i="190"/>
  <c r="G78" i="190"/>
  <c r="P77" i="190"/>
  <c r="O77" i="190"/>
  <c r="K77" i="190"/>
  <c r="I77" i="190"/>
  <c r="G77" i="190"/>
  <c r="P76" i="190"/>
  <c r="O76" i="190"/>
  <c r="K76" i="190"/>
  <c r="I76" i="190"/>
  <c r="G76" i="190"/>
  <c r="P75" i="190"/>
  <c r="O75" i="190"/>
  <c r="K75" i="190"/>
  <c r="I75" i="190"/>
  <c r="G75" i="190"/>
  <c r="P74" i="190"/>
  <c r="O74" i="190"/>
  <c r="K74" i="190"/>
  <c r="I74" i="190"/>
  <c r="G74" i="190"/>
  <c r="P73" i="190"/>
  <c r="K73" i="190"/>
  <c r="I73" i="190"/>
  <c r="G73" i="190"/>
  <c r="J67" i="190" s="1"/>
  <c r="P71" i="190"/>
  <c r="O71" i="190"/>
  <c r="K71" i="190"/>
  <c r="G71" i="190"/>
  <c r="P70" i="190"/>
  <c r="O70" i="190"/>
  <c r="N70" i="190"/>
  <c r="K70" i="190"/>
  <c r="G70" i="190"/>
  <c r="P69" i="190"/>
  <c r="O69" i="190"/>
  <c r="N69" i="190"/>
  <c r="K69" i="190"/>
  <c r="G69" i="190"/>
  <c r="N67" i="190"/>
  <c r="H66" i="190"/>
  <c r="P66" i="190" s="1" a="1"/>
  <c r="P66" i="190" s="1"/>
  <c r="F66" i="190" a="1"/>
  <c r="F66" i="190" s="1"/>
  <c r="P65" i="190"/>
  <c r="L65" i="190"/>
  <c r="L66" i="190" s="1"/>
  <c r="L67" i="190" s="1"/>
  <c r="K65" i="190"/>
  <c r="E65" i="190"/>
  <c r="O64" i="190"/>
  <c r="M64" i="190"/>
  <c r="L64" i="190"/>
  <c r="P64" i="190" s="1"/>
  <c r="K64" i="190"/>
  <c r="J64" i="190"/>
  <c r="I64" i="190"/>
  <c r="H64" i="190"/>
  <c r="E64" i="190"/>
  <c r="E57" i="190"/>
  <c r="P57" i="190" s="1"/>
  <c r="O56" i="190"/>
  <c r="N56" i="190"/>
  <c r="L56" i="190"/>
  <c r="K56" i="190"/>
  <c r="H56" i="190"/>
  <c r="F56" i="190"/>
  <c r="P56" i="190" s="1"/>
  <c r="E56" i="190"/>
  <c r="O55" i="190"/>
  <c r="N55" i="190"/>
  <c r="L55" i="190"/>
  <c r="K55" i="190"/>
  <c r="H55" i="190"/>
  <c r="F55" i="190"/>
  <c r="P55" i="190" s="1"/>
  <c r="E55" i="190"/>
  <c r="O54" i="190"/>
  <c r="N54" i="190"/>
  <c r="L54" i="190"/>
  <c r="K54" i="190"/>
  <c r="H54" i="190"/>
  <c r="F54" i="190"/>
  <c r="P54" i="190" s="1"/>
  <c r="E54" i="190"/>
  <c r="O53" i="190"/>
  <c r="N53" i="190"/>
  <c r="L53" i="190"/>
  <c r="K53" i="190"/>
  <c r="H53" i="190"/>
  <c r="F53" i="190"/>
  <c r="P53" i="190" s="1"/>
  <c r="E53" i="190"/>
  <c r="O52" i="190"/>
  <c r="N52" i="190"/>
  <c r="L52" i="190"/>
  <c r="K52" i="190"/>
  <c r="H52" i="190"/>
  <c r="F52" i="190"/>
  <c r="P52" i="190" s="1"/>
  <c r="E52" i="190"/>
  <c r="O51" i="190"/>
  <c r="N51" i="190"/>
  <c r="L51" i="190"/>
  <c r="K51" i="190"/>
  <c r="H51" i="190"/>
  <c r="F51" i="190"/>
  <c r="P51" i="190" s="1"/>
  <c r="E51" i="190"/>
  <c r="O50" i="190"/>
  <c r="N50" i="190"/>
  <c r="L50" i="190"/>
  <c r="K50" i="190"/>
  <c r="H50" i="190"/>
  <c r="F50" i="190"/>
  <c r="P50" i="190" s="1"/>
  <c r="E50" i="190"/>
  <c r="O49" i="190"/>
  <c r="N49" i="190"/>
  <c r="L49" i="190"/>
  <c r="K49" i="190"/>
  <c r="H49" i="190"/>
  <c r="F49" i="190"/>
  <c r="P49" i="190" s="1"/>
  <c r="E49" i="190"/>
  <c r="O48" i="190"/>
  <c r="N48" i="190"/>
  <c r="L48" i="190"/>
  <c r="K48" i="190"/>
  <c r="H48" i="190"/>
  <c r="F48" i="190"/>
  <c r="P48" i="190" s="1"/>
  <c r="E48" i="190"/>
  <c r="O47" i="190"/>
  <c r="N47" i="190"/>
  <c r="L47" i="190"/>
  <c r="K47" i="190"/>
  <c r="H47" i="190"/>
  <c r="F47" i="190"/>
  <c r="P47" i="190" s="1"/>
  <c r="E47" i="190"/>
  <c r="O46" i="190"/>
  <c r="N46" i="190"/>
  <c r="L46" i="190"/>
  <c r="K46" i="190"/>
  <c r="H46" i="190"/>
  <c r="F46" i="190"/>
  <c r="P46" i="190" s="1"/>
  <c r="E46" i="190"/>
  <c r="O45" i="190"/>
  <c r="N45" i="190"/>
  <c r="L45" i="190"/>
  <c r="K45" i="190"/>
  <c r="H45" i="190"/>
  <c r="F45" i="190"/>
  <c r="P45" i="190" s="1"/>
  <c r="E45" i="190"/>
  <c r="O44" i="190"/>
  <c r="N44" i="190"/>
  <c r="L44" i="190"/>
  <c r="K44" i="190"/>
  <c r="H44" i="190"/>
  <c r="F44" i="190"/>
  <c r="P44" i="190" s="1"/>
  <c r="E44" i="190"/>
  <c r="O43" i="190"/>
  <c r="N43" i="190"/>
  <c r="L43" i="190"/>
  <c r="K43" i="190"/>
  <c r="H43" i="190"/>
  <c r="F43" i="190"/>
  <c r="P43" i="190" s="1"/>
  <c r="E43" i="190"/>
  <c r="O42" i="190"/>
  <c r="N42" i="190"/>
  <c r="L42" i="190"/>
  <c r="K42" i="190"/>
  <c r="H42" i="190"/>
  <c r="F42" i="190"/>
  <c r="P42" i="190" s="1"/>
  <c r="E42" i="190"/>
  <c r="O41" i="190"/>
  <c r="N41" i="190"/>
  <c r="L41" i="190"/>
  <c r="K41" i="190"/>
  <c r="H41" i="190"/>
  <c r="F41" i="190"/>
  <c r="P41" i="190" s="1"/>
  <c r="E41" i="190"/>
  <c r="O40" i="190"/>
  <c r="N40" i="190"/>
  <c r="L40" i="190"/>
  <c r="K40" i="190"/>
  <c r="H40" i="190"/>
  <c r="F40" i="190"/>
  <c r="P40" i="190" s="1"/>
  <c r="E40" i="190"/>
  <c r="O39" i="190"/>
  <c r="N39" i="190"/>
  <c r="L39" i="190"/>
  <c r="K39" i="190"/>
  <c r="H39" i="190"/>
  <c r="F39" i="190"/>
  <c r="P39" i="190" s="1"/>
  <c r="E39" i="190"/>
  <c r="O38" i="190"/>
  <c r="N38" i="190"/>
  <c r="L38" i="190"/>
  <c r="K38" i="190"/>
  <c r="H38" i="190"/>
  <c r="F38" i="190"/>
  <c r="P38" i="190" s="1"/>
  <c r="E38" i="190"/>
  <c r="O37" i="190"/>
  <c r="N37" i="190"/>
  <c r="L37" i="190"/>
  <c r="K37" i="190"/>
  <c r="H37" i="190"/>
  <c r="F37" i="190"/>
  <c r="P37" i="190" s="1"/>
  <c r="E37" i="190"/>
  <c r="O36" i="190"/>
  <c r="N36" i="190"/>
  <c r="L36" i="190"/>
  <c r="K36" i="190"/>
  <c r="H36" i="190"/>
  <c r="F36" i="190"/>
  <c r="P36" i="190" s="1"/>
  <c r="E36" i="190"/>
  <c r="O34" i="190"/>
  <c r="N34" i="190"/>
  <c r="K34" i="190"/>
  <c r="H34" i="190"/>
  <c r="F34" i="190"/>
  <c r="P34" i="190" s="1"/>
  <c r="E34" i="190"/>
  <c r="O33" i="190"/>
  <c r="N33" i="190"/>
  <c r="K33" i="190"/>
  <c r="H33" i="190"/>
  <c r="F33" i="190"/>
  <c r="P33" i="190" s="1"/>
  <c r="E33" i="190"/>
  <c r="O32" i="190"/>
  <c r="N32" i="190"/>
  <c r="K32" i="190"/>
  <c r="H32" i="190"/>
  <c r="F32" i="190"/>
  <c r="P32" i="190" s="1"/>
  <c r="E32" i="190"/>
  <c r="O31" i="190"/>
  <c r="N31" i="190"/>
  <c r="K31" i="190"/>
  <c r="H31" i="190"/>
  <c r="F31" i="190"/>
  <c r="P31" i="190" s="1"/>
  <c r="E31" i="190"/>
  <c r="O30" i="190"/>
  <c r="N30" i="190"/>
  <c r="K30" i="190"/>
  <c r="H30" i="190"/>
  <c r="F30" i="190"/>
  <c r="P30" i="190" s="1"/>
  <c r="E30" i="190"/>
  <c r="P28" i="190"/>
  <c r="J28" i="190"/>
  <c r="I28" i="190"/>
  <c r="O28" i="190" s="1"/>
  <c r="H28" i="190"/>
  <c r="F28" i="190"/>
  <c r="D28" i="190"/>
  <c r="L28" i="190" s="1"/>
  <c r="M28" i="190" s="1"/>
  <c r="C28" i="190"/>
  <c r="A28" i="190"/>
  <c r="P27" i="190"/>
  <c r="J27" i="190"/>
  <c r="D27" i="190"/>
  <c r="L27" i="190" s="1"/>
  <c r="M27" i="190" s="1"/>
  <c r="C27" i="190"/>
  <c r="H27" i="190" s="1"/>
  <c r="I27" i="190" s="1"/>
  <c r="O27" i="190" s="1"/>
  <c r="A27" i="190"/>
  <c r="P26" i="190"/>
  <c r="J26" i="190"/>
  <c r="F26" i="190"/>
  <c r="E26" i="190" a="1"/>
  <c r="E26" i="190" s="1"/>
  <c r="D26" i="190"/>
  <c r="L26" i="190" s="1"/>
  <c r="M26" i="190" s="1"/>
  <c r="C26" i="190"/>
  <c r="H26" i="190" s="1"/>
  <c r="I26" i="190" s="1"/>
  <c r="O26" i="190" s="1"/>
  <c r="P25" i="190"/>
  <c r="J25" i="190"/>
  <c r="E25" i="190" a="1"/>
  <c r="E25" i="190" s="1"/>
  <c r="D25" i="190"/>
  <c r="L25" i="190" s="1"/>
  <c r="M25" i="190" s="1"/>
  <c r="C25" i="190"/>
  <c r="F25" i="190" s="1"/>
  <c r="P24" i="190"/>
  <c r="J24" i="190"/>
  <c r="F24" i="190"/>
  <c r="E24" i="190" a="1"/>
  <c r="E24" i="190" s="1"/>
  <c r="D24" i="190"/>
  <c r="L24" i="190" s="1"/>
  <c r="M24" i="190" s="1"/>
  <c r="C24" i="190"/>
  <c r="H24" i="190" s="1"/>
  <c r="I24" i="190" s="1"/>
  <c r="O24" i="190" s="1"/>
  <c r="P23" i="190"/>
  <c r="J23" i="190"/>
  <c r="E23" i="190" a="1"/>
  <c r="E23" i="190" s="1"/>
  <c r="D23" i="190"/>
  <c r="L23" i="190" s="1"/>
  <c r="M23" i="190" s="1"/>
  <c r="C23" i="190"/>
  <c r="F23" i="190" s="1"/>
  <c r="P22" i="190"/>
  <c r="J22" i="190"/>
  <c r="F22" i="190"/>
  <c r="D22" i="190"/>
  <c r="L22" i="190" s="1"/>
  <c r="M22" i="190" s="1"/>
  <c r="C22" i="190"/>
  <c r="H22" i="190" s="1"/>
  <c r="I22" i="190" s="1"/>
  <c r="O22" i="190" s="1"/>
  <c r="P21" i="190"/>
  <c r="J21" i="190"/>
  <c r="E21" i="190" a="1"/>
  <c r="E21" i="190" s="1"/>
  <c r="D21" i="190"/>
  <c r="L21" i="190" s="1"/>
  <c r="M21" i="190" s="1"/>
  <c r="C21" i="190"/>
  <c r="F21" i="190" s="1"/>
  <c r="P20" i="190"/>
  <c r="J20" i="190"/>
  <c r="F20" i="190"/>
  <c r="D20" i="190"/>
  <c r="L20" i="190" s="1"/>
  <c r="M20" i="190" s="1"/>
  <c r="C20" i="190"/>
  <c r="H20" i="190" s="1"/>
  <c r="I20" i="190" s="1"/>
  <c r="O20" i="190" s="1"/>
  <c r="P19" i="190"/>
  <c r="J19" i="190"/>
  <c r="E19" i="190" a="1"/>
  <c r="E19" i="190" s="1"/>
  <c r="D19" i="190"/>
  <c r="L19" i="190" s="1"/>
  <c r="M19" i="190" s="1"/>
  <c r="C19" i="190"/>
  <c r="F19" i="190" s="1"/>
  <c r="P17" i="190"/>
  <c r="N17" i="190"/>
  <c r="E17" i="190"/>
  <c r="P16" i="190"/>
  <c r="N16" i="190"/>
  <c r="E16" i="190"/>
  <c r="N15" i="190"/>
  <c r="J15" i="190"/>
  <c r="J16" i="190" s="1"/>
  <c r="E15" i="190"/>
  <c r="P15" i="190" s="1"/>
  <c r="P14" i="190"/>
  <c r="J14" i="190"/>
  <c r="S13" i="190"/>
  <c r="P13" i="190"/>
  <c r="O13" i="190"/>
  <c r="J13" i="190"/>
  <c r="P11" i="190"/>
  <c r="J11" i="190"/>
  <c r="P10" i="190"/>
  <c r="J10" i="190"/>
  <c r="M11" i="190" s="1"/>
  <c r="S6" i="190" s="1"/>
  <c r="E10" i="190"/>
  <c r="O9" i="190"/>
  <c r="S8" i="190"/>
  <c r="P8" i="190"/>
  <c r="J8" i="190"/>
  <c r="J9" i="190" s="1"/>
  <c r="L7" i="190"/>
  <c r="F7" i="190"/>
  <c r="E7" i="190" a="1"/>
  <c r="E7" i="190" s="1"/>
  <c r="P7" i="190" s="1" a="1"/>
  <c r="P7" i="190" s="1"/>
  <c r="X6" i="190"/>
  <c r="O92" i="190" s="1"/>
  <c r="V6" i="190"/>
  <c r="U6" i="190"/>
  <c r="T6" i="190"/>
  <c r="R6" i="190"/>
  <c r="P5" i="190"/>
  <c r="N5" i="190"/>
  <c r="M5" i="190"/>
  <c r="K5" i="190"/>
  <c r="J5" i="190"/>
  <c r="N4" i="190"/>
  <c r="M4" i="190"/>
  <c r="J4" i="190"/>
  <c r="F4" i="190"/>
  <c r="E4" i="190"/>
  <c r="E9" i="190" s="1"/>
  <c r="P9" i="190" s="1"/>
  <c r="P90" i="189"/>
  <c r="O90" i="189"/>
  <c r="K90" i="189"/>
  <c r="I90" i="189"/>
  <c r="G90" i="189"/>
  <c r="P89" i="189"/>
  <c r="O89" i="189"/>
  <c r="K89" i="189"/>
  <c r="I89" i="189"/>
  <c r="G89" i="189"/>
  <c r="P88" i="189"/>
  <c r="O88" i="189"/>
  <c r="K88" i="189"/>
  <c r="I88" i="189"/>
  <c r="G88" i="189"/>
  <c r="P87" i="189"/>
  <c r="O87" i="189"/>
  <c r="K87" i="189"/>
  <c r="I87" i="189"/>
  <c r="G87" i="189"/>
  <c r="P86" i="189"/>
  <c r="O86" i="189"/>
  <c r="K86" i="189"/>
  <c r="I86" i="189"/>
  <c r="G86" i="189"/>
  <c r="P85" i="189"/>
  <c r="O85" i="189"/>
  <c r="K85" i="189"/>
  <c r="I85" i="189"/>
  <c r="G85" i="189"/>
  <c r="P84" i="189"/>
  <c r="O84" i="189"/>
  <c r="K84" i="189"/>
  <c r="I84" i="189"/>
  <c r="G84" i="189"/>
  <c r="P83" i="189"/>
  <c r="O83" i="189"/>
  <c r="K83" i="189"/>
  <c r="I83" i="189"/>
  <c r="G83" i="189"/>
  <c r="P82" i="189"/>
  <c r="O82" i="189"/>
  <c r="K82" i="189"/>
  <c r="I82" i="189"/>
  <c r="G82" i="189"/>
  <c r="P81" i="189"/>
  <c r="O81" i="189"/>
  <c r="K81" i="189"/>
  <c r="I81" i="189"/>
  <c r="G81" i="189"/>
  <c r="P80" i="189"/>
  <c r="O80" i="189"/>
  <c r="K80" i="189"/>
  <c r="I80" i="189"/>
  <c r="G80" i="189"/>
  <c r="P79" i="189"/>
  <c r="O79" i="189"/>
  <c r="K79" i="189"/>
  <c r="I79" i="189"/>
  <c r="G79" i="189"/>
  <c r="P78" i="189"/>
  <c r="O78" i="189"/>
  <c r="K78" i="189"/>
  <c r="I78" i="189"/>
  <c r="G78" i="189"/>
  <c r="P77" i="189"/>
  <c r="O77" i="189"/>
  <c r="K77" i="189"/>
  <c r="I77" i="189"/>
  <c r="G77" i="189"/>
  <c r="P76" i="189"/>
  <c r="O76" i="189"/>
  <c r="K76" i="189"/>
  <c r="I76" i="189"/>
  <c r="G76" i="189"/>
  <c r="P75" i="189"/>
  <c r="O75" i="189"/>
  <c r="K75" i="189"/>
  <c r="I75" i="189"/>
  <c r="G75" i="189"/>
  <c r="P74" i="189"/>
  <c r="O74" i="189"/>
  <c r="K74" i="189"/>
  <c r="I74" i="189"/>
  <c r="G74" i="189"/>
  <c r="P73" i="189"/>
  <c r="K73" i="189"/>
  <c r="I73" i="189"/>
  <c r="G73" i="189"/>
  <c r="J67" i="189" s="1"/>
  <c r="P71" i="189"/>
  <c r="O71" i="189"/>
  <c r="K71" i="189"/>
  <c r="G71" i="189"/>
  <c r="P70" i="189"/>
  <c r="O70" i="189"/>
  <c r="N70" i="189"/>
  <c r="K70" i="189"/>
  <c r="G70" i="189"/>
  <c r="P69" i="189"/>
  <c r="O69" i="189"/>
  <c r="N69" i="189"/>
  <c r="K69" i="189"/>
  <c r="G69" i="189"/>
  <c r="N67" i="189"/>
  <c r="H66" i="189"/>
  <c r="P66" i="189" s="1" a="1"/>
  <c r="P66" i="189" s="1"/>
  <c r="F66" i="189" a="1"/>
  <c r="F66" i="189" s="1"/>
  <c r="P65" i="189"/>
  <c r="L65" i="189"/>
  <c r="L66" i="189" s="1"/>
  <c r="L67" i="189" s="1"/>
  <c r="K65" i="189"/>
  <c r="E65" i="189"/>
  <c r="O64" i="189"/>
  <c r="M64" i="189"/>
  <c r="L64" i="189"/>
  <c r="P64" i="189" s="1"/>
  <c r="K64" i="189"/>
  <c r="J64" i="189"/>
  <c r="I64" i="189"/>
  <c r="H64" i="189"/>
  <c r="E57" i="189"/>
  <c r="P57" i="189" s="1"/>
  <c r="O56" i="189"/>
  <c r="N56" i="189"/>
  <c r="L56" i="189"/>
  <c r="K56" i="189"/>
  <c r="H56" i="189"/>
  <c r="F56" i="189"/>
  <c r="P56" i="189" s="1"/>
  <c r="E56" i="189"/>
  <c r="O55" i="189"/>
  <c r="N55" i="189"/>
  <c r="L55" i="189"/>
  <c r="K55" i="189"/>
  <c r="H55" i="189"/>
  <c r="F55" i="189"/>
  <c r="P55" i="189" s="1"/>
  <c r="E55" i="189"/>
  <c r="O54" i="189"/>
  <c r="N54" i="189"/>
  <c r="L54" i="189"/>
  <c r="K54" i="189"/>
  <c r="H54" i="189"/>
  <c r="F54" i="189"/>
  <c r="P54" i="189" s="1"/>
  <c r="E54" i="189"/>
  <c r="O53" i="189"/>
  <c r="N53" i="189"/>
  <c r="L53" i="189"/>
  <c r="K53" i="189"/>
  <c r="H53" i="189"/>
  <c r="F53" i="189"/>
  <c r="P53" i="189" s="1"/>
  <c r="E53" i="189"/>
  <c r="O52" i="189"/>
  <c r="N52" i="189"/>
  <c r="L52" i="189"/>
  <c r="K52" i="189"/>
  <c r="H52" i="189"/>
  <c r="F52" i="189"/>
  <c r="P52" i="189" s="1"/>
  <c r="E52" i="189"/>
  <c r="O51" i="189"/>
  <c r="N51" i="189"/>
  <c r="L51" i="189"/>
  <c r="K51" i="189"/>
  <c r="H51" i="189"/>
  <c r="F51" i="189"/>
  <c r="P51" i="189" s="1"/>
  <c r="E51" i="189"/>
  <c r="O50" i="189"/>
  <c r="N50" i="189"/>
  <c r="L50" i="189"/>
  <c r="K50" i="189"/>
  <c r="H50" i="189"/>
  <c r="F50" i="189"/>
  <c r="P50" i="189" s="1"/>
  <c r="E50" i="189"/>
  <c r="O49" i="189"/>
  <c r="N49" i="189"/>
  <c r="L49" i="189"/>
  <c r="K49" i="189"/>
  <c r="H49" i="189"/>
  <c r="F49" i="189"/>
  <c r="P49" i="189" s="1"/>
  <c r="E49" i="189"/>
  <c r="O48" i="189"/>
  <c r="N48" i="189"/>
  <c r="L48" i="189"/>
  <c r="K48" i="189"/>
  <c r="H48" i="189"/>
  <c r="F48" i="189"/>
  <c r="P48" i="189" s="1"/>
  <c r="E48" i="189"/>
  <c r="O47" i="189"/>
  <c r="N47" i="189"/>
  <c r="L47" i="189"/>
  <c r="K47" i="189"/>
  <c r="H47" i="189"/>
  <c r="F47" i="189"/>
  <c r="P47" i="189" s="1"/>
  <c r="E47" i="189"/>
  <c r="O46" i="189"/>
  <c r="N46" i="189"/>
  <c r="L46" i="189"/>
  <c r="K46" i="189"/>
  <c r="H46" i="189"/>
  <c r="F46" i="189"/>
  <c r="P46" i="189" s="1"/>
  <c r="E46" i="189"/>
  <c r="O45" i="189"/>
  <c r="N45" i="189"/>
  <c r="L45" i="189"/>
  <c r="K45" i="189"/>
  <c r="H45" i="189"/>
  <c r="F45" i="189"/>
  <c r="P45" i="189" s="1"/>
  <c r="E45" i="189"/>
  <c r="O44" i="189"/>
  <c r="N44" i="189"/>
  <c r="L44" i="189"/>
  <c r="K44" i="189"/>
  <c r="H44" i="189"/>
  <c r="F44" i="189"/>
  <c r="P44" i="189" s="1"/>
  <c r="E44" i="189"/>
  <c r="O43" i="189"/>
  <c r="N43" i="189"/>
  <c r="L43" i="189"/>
  <c r="K43" i="189"/>
  <c r="H43" i="189"/>
  <c r="F43" i="189"/>
  <c r="P43" i="189" s="1"/>
  <c r="E43" i="189"/>
  <c r="O42" i="189"/>
  <c r="N42" i="189"/>
  <c r="L42" i="189"/>
  <c r="K42" i="189"/>
  <c r="H42" i="189"/>
  <c r="F42" i="189"/>
  <c r="P42" i="189" s="1"/>
  <c r="E42" i="189"/>
  <c r="O41" i="189"/>
  <c r="N41" i="189"/>
  <c r="L41" i="189"/>
  <c r="K41" i="189"/>
  <c r="H41" i="189"/>
  <c r="F41" i="189"/>
  <c r="P41" i="189" s="1"/>
  <c r="E41" i="189"/>
  <c r="O40" i="189"/>
  <c r="N40" i="189"/>
  <c r="L40" i="189"/>
  <c r="K40" i="189"/>
  <c r="H40" i="189"/>
  <c r="F40" i="189"/>
  <c r="P40" i="189" s="1"/>
  <c r="E40" i="189"/>
  <c r="O39" i="189"/>
  <c r="N39" i="189"/>
  <c r="L39" i="189"/>
  <c r="K39" i="189"/>
  <c r="H39" i="189"/>
  <c r="F39" i="189"/>
  <c r="P39" i="189" s="1"/>
  <c r="E39" i="189"/>
  <c r="O38" i="189"/>
  <c r="N38" i="189"/>
  <c r="L38" i="189"/>
  <c r="K38" i="189"/>
  <c r="H38" i="189"/>
  <c r="F38" i="189"/>
  <c r="P38" i="189" s="1"/>
  <c r="E38" i="189"/>
  <c r="O37" i="189"/>
  <c r="N37" i="189"/>
  <c r="L37" i="189"/>
  <c r="K37" i="189"/>
  <c r="H37" i="189"/>
  <c r="F37" i="189"/>
  <c r="P37" i="189" s="1"/>
  <c r="E37" i="189"/>
  <c r="O36" i="189"/>
  <c r="N36" i="189"/>
  <c r="L36" i="189"/>
  <c r="K36" i="189"/>
  <c r="H36" i="189"/>
  <c r="F36" i="189"/>
  <c r="P36" i="189" s="1"/>
  <c r="E36" i="189"/>
  <c r="O34" i="189"/>
  <c r="N34" i="189"/>
  <c r="K34" i="189"/>
  <c r="H34" i="189"/>
  <c r="F34" i="189"/>
  <c r="P34" i="189" s="1"/>
  <c r="E34" i="189"/>
  <c r="O33" i="189"/>
  <c r="N33" i="189"/>
  <c r="K33" i="189"/>
  <c r="H33" i="189"/>
  <c r="F33" i="189"/>
  <c r="P33" i="189" s="1"/>
  <c r="E33" i="189"/>
  <c r="O32" i="189"/>
  <c r="N32" i="189"/>
  <c r="K32" i="189"/>
  <c r="H32" i="189"/>
  <c r="F32" i="189"/>
  <c r="P32" i="189" s="1"/>
  <c r="E32" i="189"/>
  <c r="O31" i="189"/>
  <c r="N31" i="189"/>
  <c r="K31" i="189"/>
  <c r="H31" i="189"/>
  <c r="F31" i="189"/>
  <c r="P31" i="189" s="1"/>
  <c r="E31" i="189"/>
  <c r="O30" i="189"/>
  <c r="N30" i="189"/>
  <c r="K30" i="189"/>
  <c r="H30" i="189"/>
  <c r="F30" i="189"/>
  <c r="P30" i="189" s="1"/>
  <c r="E30" i="189"/>
  <c r="P28" i="189"/>
  <c r="J28" i="189"/>
  <c r="H28" i="189"/>
  <c r="I28" i="189" s="1"/>
  <c r="O28" i="189" s="1"/>
  <c r="F28" i="189"/>
  <c r="D28" i="189"/>
  <c r="L28" i="189" s="1"/>
  <c r="M28" i="189" s="1"/>
  <c r="C28" i="189"/>
  <c r="A28" i="189"/>
  <c r="P27" i="189"/>
  <c r="J27" i="189"/>
  <c r="D27" i="189"/>
  <c r="L27" i="189" s="1"/>
  <c r="M27" i="189" s="1"/>
  <c r="C27" i="189"/>
  <c r="H27" i="189" s="1"/>
  <c r="I27" i="189" s="1"/>
  <c r="O27" i="189" s="1"/>
  <c r="A27" i="189"/>
  <c r="P26" i="189"/>
  <c r="J26" i="189"/>
  <c r="H26" i="189"/>
  <c r="I26" i="189" s="1"/>
  <c r="O26" i="189" s="1"/>
  <c r="F26" i="189"/>
  <c r="E26" i="189" a="1"/>
  <c r="E26" i="189" s="1"/>
  <c r="D26" i="189"/>
  <c r="L26" i="189" s="1"/>
  <c r="M26" i="189" s="1"/>
  <c r="C26" i="189"/>
  <c r="P25" i="189"/>
  <c r="J25" i="189"/>
  <c r="E25" i="189" a="1"/>
  <c r="E25" i="189" s="1"/>
  <c r="D25" i="189"/>
  <c r="L25" i="189" s="1"/>
  <c r="M25" i="189" s="1"/>
  <c r="C25" i="189"/>
  <c r="F25" i="189" s="1"/>
  <c r="P24" i="189"/>
  <c r="J24" i="189"/>
  <c r="H24" i="189"/>
  <c r="I24" i="189" s="1"/>
  <c r="O24" i="189" s="1"/>
  <c r="F24" i="189"/>
  <c r="E24" i="189" a="1"/>
  <c r="E24" i="189" s="1"/>
  <c r="D24" i="189"/>
  <c r="L24" i="189" s="1"/>
  <c r="M24" i="189" s="1"/>
  <c r="C24" i="189"/>
  <c r="P23" i="189"/>
  <c r="J23" i="189"/>
  <c r="E23" i="189" a="1"/>
  <c r="E23" i="189" s="1"/>
  <c r="D23" i="189"/>
  <c r="L23" i="189" s="1"/>
  <c r="M23" i="189" s="1"/>
  <c r="C23" i="189"/>
  <c r="H23" i="189" s="1"/>
  <c r="I23" i="189" s="1"/>
  <c r="O23" i="189" s="1"/>
  <c r="P22" i="189"/>
  <c r="J22" i="189"/>
  <c r="H22" i="189"/>
  <c r="I22" i="189" s="1"/>
  <c r="O22" i="189" s="1"/>
  <c r="F22" i="189"/>
  <c r="D22" i="189"/>
  <c r="L22" i="189" s="1"/>
  <c r="M22" i="189" s="1"/>
  <c r="C22" i="189"/>
  <c r="P21" i="189"/>
  <c r="J21" i="189"/>
  <c r="E21" i="189" a="1"/>
  <c r="E21" i="189" s="1"/>
  <c r="D21" i="189"/>
  <c r="L21" i="189" s="1"/>
  <c r="M21" i="189" s="1"/>
  <c r="C21" i="189"/>
  <c r="F21" i="189" s="1"/>
  <c r="P20" i="189"/>
  <c r="J20" i="189"/>
  <c r="H20" i="189"/>
  <c r="I20" i="189" s="1"/>
  <c r="O20" i="189" s="1"/>
  <c r="F20" i="189"/>
  <c r="D20" i="189"/>
  <c r="L20" i="189" s="1"/>
  <c r="M20" i="189" s="1"/>
  <c r="C20" i="189"/>
  <c r="J19" i="189"/>
  <c r="E19" i="189" a="1"/>
  <c r="E19" i="189" s="1"/>
  <c r="D19" i="189"/>
  <c r="L19" i="189" s="1"/>
  <c r="M19" i="189" s="1"/>
  <c r="C19" i="189"/>
  <c r="H19" i="189" s="1"/>
  <c r="P17" i="189"/>
  <c r="N17" i="189"/>
  <c r="E17" i="189"/>
  <c r="P16" i="189"/>
  <c r="N16" i="189"/>
  <c r="E16" i="189"/>
  <c r="N15" i="189"/>
  <c r="J15" i="189"/>
  <c r="J16" i="189" s="1"/>
  <c r="E15" i="189"/>
  <c r="P15" i="189" s="1"/>
  <c r="J14" i="189"/>
  <c r="S13" i="189"/>
  <c r="P13" i="189"/>
  <c r="O13" i="189"/>
  <c r="P11" i="189"/>
  <c r="J11" i="189"/>
  <c r="P10" i="189"/>
  <c r="J10" i="189"/>
  <c r="M11" i="189" s="1"/>
  <c r="S6" i="189" s="1"/>
  <c r="E10" i="189"/>
  <c r="O9" i="189"/>
  <c r="S8" i="189"/>
  <c r="P8" i="189"/>
  <c r="J8" i="189"/>
  <c r="J9" i="189" s="1"/>
  <c r="L7" i="189"/>
  <c r="F7" i="189"/>
  <c r="E7" i="189" a="1"/>
  <c r="E7" i="189" s="1"/>
  <c r="P7" i="189" s="1" a="1"/>
  <c r="P7" i="189" s="1"/>
  <c r="X6" i="189"/>
  <c r="O92" i="189" s="1"/>
  <c r="V6" i="189"/>
  <c r="U6" i="189"/>
  <c r="T6" i="189"/>
  <c r="R6" i="189"/>
  <c r="P5" i="189"/>
  <c r="P14" i="189" s="1"/>
  <c r="N5" i="189"/>
  <c r="M5" i="189"/>
  <c r="K5" i="189"/>
  <c r="J5" i="189"/>
  <c r="J13" i="189" s="1"/>
  <c r="N4" i="189"/>
  <c r="M4" i="189"/>
  <c r="J4" i="189"/>
  <c r="F4" i="189"/>
  <c r="E4" i="189"/>
  <c r="E9" i="189" s="1"/>
  <c r="P9" i="189" s="1"/>
  <c r="P90" i="188"/>
  <c r="O90" i="188"/>
  <c r="K90" i="188"/>
  <c r="I90" i="188"/>
  <c r="G90" i="188"/>
  <c r="P89" i="188"/>
  <c r="O89" i="188"/>
  <c r="K89" i="188"/>
  <c r="I89" i="188"/>
  <c r="G89" i="188"/>
  <c r="P88" i="188"/>
  <c r="O88" i="188"/>
  <c r="K88" i="188"/>
  <c r="I88" i="188"/>
  <c r="G88" i="188"/>
  <c r="P87" i="188"/>
  <c r="O87" i="188"/>
  <c r="K87" i="188"/>
  <c r="I87" i="188"/>
  <c r="G87" i="188"/>
  <c r="P86" i="188"/>
  <c r="O86" i="188"/>
  <c r="K86" i="188"/>
  <c r="I86" i="188"/>
  <c r="G86" i="188"/>
  <c r="P85" i="188"/>
  <c r="O85" i="188"/>
  <c r="K85" i="188"/>
  <c r="I85" i="188"/>
  <c r="G85" i="188"/>
  <c r="P84" i="188"/>
  <c r="O84" i="188"/>
  <c r="K84" i="188"/>
  <c r="I84" i="188"/>
  <c r="G84" i="188"/>
  <c r="P83" i="188"/>
  <c r="O83" i="188"/>
  <c r="K83" i="188"/>
  <c r="I83" i="188"/>
  <c r="G83" i="188"/>
  <c r="P82" i="188"/>
  <c r="O82" i="188"/>
  <c r="K82" i="188"/>
  <c r="I82" i="188"/>
  <c r="G82" i="188"/>
  <c r="P81" i="188"/>
  <c r="O81" i="188"/>
  <c r="K81" i="188"/>
  <c r="I81" i="188"/>
  <c r="G81" i="188"/>
  <c r="P80" i="188"/>
  <c r="O80" i="188"/>
  <c r="K80" i="188"/>
  <c r="I80" i="188"/>
  <c r="G80" i="188"/>
  <c r="P79" i="188"/>
  <c r="O79" i="188"/>
  <c r="K79" i="188"/>
  <c r="I79" i="188"/>
  <c r="G79" i="188"/>
  <c r="P78" i="188"/>
  <c r="O78" i="188"/>
  <c r="K78" i="188"/>
  <c r="I78" i="188"/>
  <c r="G78" i="188"/>
  <c r="P77" i="188"/>
  <c r="O77" i="188"/>
  <c r="K77" i="188"/>
  <c r="I77" i="188"/>
  <c r="G77" i="188"/>
  <c r="P76" i="188"/>
  <c r="O76" i="188"/>
  <c r="K76" i="188"/>
  <c r="I76" i="188"/>
  <c r="G76" i="188"/>
  <c r="P75" i="188"/>
  <c r="O75" i="188"/>
  <c r="K75" i="188"/>
  <c r="I75" i="188"/>
  <c r="G75" i="188"/>
  <c r="P74" i="188"/>
  <c r="O74" i="188"/>
  <c r="K74" i="188"/>
  <c r="I74" i="188"/>
  <c r="G74" i="188"/>
  <c r="P73" i="188"/>
  <c r="K73" i="188"/>
  <c r="I73" i="188"/>
  <c r="G73" i="188"/>
  <c r="P71" i="188"/>
  <c r="O71" i="188"/>
  <c r="K71" i="188"/>
  <c r="G71" i="188"/>
  <c r="P70" i="188"/>
  <c r="O70" i="188"/>
  <c r="N70" i="188"/>
  <c r="K70" i="188"/>
  <c r="G70" i="188"/>
  <c r="P69" i="188"/>
  <c r="O69" i="188"/>
  <c r="N69" i="188"/>
  <c r="K69" i="188"/>
  <c r="G69" i="188"/>
  <c r="N67" i="188"/>
  <c r="H66" i="188"/>
  <c r="P66" i="188" s="1" a="1"/>
  <c r="P66" i="188" s="1"/>
  <c r="F66" i="188" a="1"/>
  <c r="F66" i="188" s="1"/>
  <c r="P65" i="188"/>
  <c r="L65" i="188"/>
  <c r="L66" i="188" s="1"/>
  <c r="L67" i="188" s="1"/>
  <c r="K65" i="188"/>
  <c r="E65" i="188"/>
  <c r="O64" i="188"/>
  <c r="M64" i="188"/>
  <c r="L64" i="188"/>
  <c r="P64" i="188" s="1"/>
  <c r="K64" i="188"/>
  <c r="J64" i="188"/>
  <c r="J67" i="188" s="1"/>
  <c r="H64" i="188"/>
  <c r="I64" i="188" s="1"/>
  <c r="E64" i="188"/>
  <c r="E57" i="188"/>
  <c r="P57" i="188" s="1"/>
  <c r="O56" i="188"/>
  <c r="N56" i="188"/>
  <c r="L56" i="188"/>
  <c r="K56" i="188"/>
  <c r="H56" i="188"/>
  <c r="F56" i="188"/>
  <c r="P56" i="188" s="1"/>
  <c r="E56" i="188"/>
  <c r="O55" i="188"/>
  <c r="N55" i="188"/>
  <c r="L55" i="188"/>
  <c r="K55" i="188"/>
  <c r="H55" i="188"/>
  <c r="F55" i="188"/>
  <c r="P55" i="188" s="1"/>
  <c r="E55" i="188"/>
  <c r="O54" i="188"/>
  <c r="N54" i="188"/>
  <c r="L54" i="188"/>
  <c r="K54" i="188"/>
  <c r="H54" i="188"/>
  <c r="F54" i="188"/>
  <c r="P54" i="188" s="1"/>
  <c r="E54" i="188"/>
  <c r="O53" i="188"/>
  <c r="N53" i="188"/>
  <c r="L53" i="188"/>
  <c r="K53" i="188"/>
  <c r="H53" i="188"/>
  <c r="F53" i="188"/>
  <c r="P53" i="188" s="1"/>
  <c r="E53" i="188"/>
  <c r="O52" i="188"/>
  <c r="N52" i="188"/>
  <c r="L52" i="188"/>
  <c r="K52" i="188"/>
  <c r="H52" i="188"/>
  <c r="F52" i="188"/>
  <c r="P52" i="188" s="1"/>
  <c r="E52" i="188"/>
  <c r="O51" i="188"/>
  <c r="N51" i="188"/>
  <c r="L51" i="188"/>
  <c r="K51" i="188"/>
  <c r="H51" i="188"/>
  <c r="F51" i="188"/>
  <c r="P51" i="188" s="1"/>
  <c r="E51" i="188"/>
  <c r="O50" i="188"/>
  <c r="N50" i="188"/>
  <c r="L50" i="188"/>
  <c r="K50" i="188"/>
  <c r="H50" i="188"/>
  <c r="F50" i="188"/>
  <c r="P50" i="188" s="1"/>
  <c r="E50" i="188"/>
  <c r="O49" i="188"/>
  <c r="N49" i="188"/>
  <c r="L49" i="188"/>
  <c r="K49" i="188"/>
  <c r="H49" i="188"/>
  <c r="F49" i="188"/>
  <c r="P49" i="188" s="1"/>
  <c r="E49" i="188"/>
  <c r="O48" i="188"/>
  <c r="N48" i="188"/>
  <c r="L48" i="188"/>
  <c r="K48" i="188"/>
  <c r="H48" i="188"/>
  <c r="F48" i="188"/>
  <c r="P48" i="188" s="1"/>
  <c r="E48" i="188"/>
  <c r="O47" i="188"/>
  <c r="N47" i="188"/>
  <c r="L47" i="188"/>
  <c r="K47" i="188"/>
  <c r="H47" i="188"/>
  <c r="F47" i="188"/>
  <c r="P47" i="188" s="1"/>
  <c r="E47" i="188"/>
  <c r="O46" i="188"/>
  <c r="N46" i="188"/>
  <c r="L46" i="188"/>
  <c r="K46" i="188"/>
  <c r="H46" i="188"/>
  <c r="F46" i="188"/>
  <c r="P46" i="188" s="1"/>
  <c r="E46" i="188"/>
  <c r="O45" i="188"/>
  <c r="N45" i="188"/>
  <c r="L45" i="188"/>
  <c r="K45" i="188"/>
  <c r="H45" i="188"/>
  <c r="F45" i="188"/>
  <c r="P45" i="188" s="1"/>
  <c r="E45" i="188"/>
  <c r="O44" i="188"/>
  <c r="N44" i="188"/>
  <c r="L44" i="188"/>
  <c r="K44" i="188"/>
  <c r="H44" i="188"/>
  <c r="F44" i="188"/>
  <c r="P44" i="188" s="1"/>
  <c r="E44" i="188"/>
  <c r="O43" i="188"/>
  <c r="N43" i="188"/>
  <c r="L43" i="188"/>
  <c r="K43" i="188"/>
  <c r="H43" i="188"/>
  <c r="F43" i="188"/>
  <c r="P43" i="188" s="1"/>
  <c r="E43" i="188"/>
  <c r="O42" i="188"/>
  <c r="N42" i="188"/>
  <c r="L42" i="188"/>
  <c r="K42" i="188"/>
  <c r="H42" i="188"/>
  <c r="F42" i="188"/>
  <c r="P42" i="188" s="1"/>
  <c r="E42" i="188"/>
  <c r="O41" i="188"/>
  <c r="N41" i="188"/>
  <c r="L41" i="188"/>
  <c r="K41" i="188"/>
  <c r="H41" i="188"/>
  <c r="F41" i="188"/>
  <c r="P41" i="188" s="1"/>
  <c r="E41" i="188"/>
  <c r="O40" i="188"/>
  <c r="N40" i="188"/>
  <c r="L40" i="188"/>
  <c r="K40" i="188"/>
  <c r="H40" i="188"/>
  <c r="F40" i="188"/>
  <c r="P40" i="188" s="1"/>
  <c r="E40" i="188"/>
  <c r="O39" i="188"/>
  <c r="N39" i="188"/>
  <c r="L39" i="188"/>
  <c r="K39" i="188"/>
  <c r="H39" i="188"/>
  <c r="F39" i="188"/>
  <c r="P39" i="188" s="1"/>
  <c r="E39" i="188"/>
  <c r="O38" i="188"/>
  <c r="N38" i="188"/>
  <c r="L38" i="188"/>
  <c r="K38" i="188"/>
  <c r="H38" i="188"/>
  <c r="F38" i="188"/>
  <c r="P38" i="188" s="1"/>
  <c r="E38" i="188"/>
  <c r="O37" i="188"/>
  <c r="N37" i="188"/>
  <c r="L37" i="188"/>
  <c r="K37" i="188"/>
  <c r="H37" i="188"/>
  <c r="F37" i="188"/>
  <c r="P37" i="188" s="1"/>
  <c r="E37" i="188"/>
  <c r="O36" i="188"/>
  <c r="N36" i="188"/>
  <c r="L36" i="188"/>
  <c r="K36" i="188"/>
  <c r="H36" i="188"/>
  <c r="F36" i="188"/>
  <c r="P36" i="188" s="1"/>
  <c r="E36" i="188"/>
  <c r="O34" i="188"/>
  <c r="N34" i="188"/>
  <c r="K34" i="188"/>
  <c r="H34" i="188"/>
  <c r="F34" i="188"/>
  <c r="P34" i="188" s="1"/>
  <c r="E34" i="188"/>
  <c r="O33" i="188"/>
  <c r="N33" i="188"/>
  <c r="K33" i="188"/>
  <c r="H33" i="188"/>
  <c r="F33" i="188"/>
  <c r="P33" i="188" s="1"/>
  <c r="E33" i="188"/>
  <c r="O32" i="188"/>
  <c r="N32" i="188"/>
  <c r="K32" i="188"/>
  <c r="H32" i="188"/>
  <c r="F32" i="188"/>
  <c r="P32" i="188" s="1"/>
  <c r="E32" i="188"/>
  <c r="O31" i="188"/>
  <c r="N31" i="188"/>
  <c r="K31" i="188"/>
  <c r="H31" i="188"/>
  <c r="F31" i="188"/>
  <c r="P31" i="188" s="1"/>
  <c r="E31" i="188"/>
  <c r="O30" i="188"/>
  <c r="N30" i="188"/>
  <c r="K30" i="188"/>
  <c r="H30" i="188"/>
  <c r="F30" i="188"/>
  <c r="P30" i="188" s="1"/>
  <c r="E30" i="188"/>
  <c r="P28" i="188"/>
  <c r="J28" i="188"/>
  <c r="D28" i="188"/>
  <c r="L28" i="188" s="1"/>
  <c r="M28" i="188" s="1"/>
  <c r="C28" i="188"/>
  <c r="H28" i="188" s="1"/>
  <c r="I28" i="188" s="1"/>
  <c r="O28" i="188" s="1"/>
  <c r="A28" i="188"/>
  <c r="P27" i="188"/>
  <c r="J27" i="188"/>
  <c r="D27" i="188"/>
  <c r="L27" i="188" s="1"/>
  <c r="M27" i="188" s="1"/>
  <c r="C27" i="188"/>
  <c r="H27" i="188" s="1"/>
  <c r="I27" i="188" s="1"/>
  <c r="O27" i="188" s="1"/>
  <c r="A27" i="188"/>
  <c r="P26" i="188"/>
  <c r="J26" i="188"/>
  <c r="E26" i="188" a="1"/>
  <c r="E26" i="188" s="1"/>
  <c r="D26" i="188"/>
  <c r="L26" i="188" s="1"/>
  <c r="M26" i="188" s="1"/>
  <c r="C26" i="188"/>
  <c r="H26" i="188" s="1"/>
  <c r="I26" i="188" s="1"/>
  <c r="O26" i="188" s="1"/>
  <c r="P25" i="188"/>
  <c r="J25" i="188"/>
  <c r="E25" i="188" a="1"/>
  <c r="E25" i="188" s="1"/>
  <c r="D25" i="188"/>
  <c r="L25" i="188" s="1"/>
  <c r="M25" i="188" s="1"/>
  <c r="C25" i="188"/>
  <c r="F25" i="188" s="1"/>
  <c r="P24" i="188"/>
  <c r="J24" i="188"/>
  <c r="E24" i="188" a="1"/>
  <c r="E24" i="188" s="1"/>
  <c r="D24" i="188"/>
  <c r="L24" i="188" s="1"/>
  <c r="M24" i="188" s="1"/>
  <c r="C24" i="188"/>
  <c r="H24" i="188" s="1"/>
  <c r="I24" i="188" s="1"/>
  <c r="O24" i="188" s="1"/>
  <c r="P23" i="188"/>
  <c r="J23" i="188"/>
  <c r="E23" i="188" a="1"/>
  <c r="E23" i="188" s="1"/>
  <c r="D23" i="188"/>
  <c r="L23" i="188" s="1"/>
  <c r="M23" i="188" s="1"/>
  <c r="C23" i="188"/>
  <c r="F23" i="188" s="1"/>
  <c r="P22" i="188"/>
  <c r="J22" i="188"/>
  <c r="D22" i="188"/>
  <c r="L22" i="188" s="1"/>
  <c r="M22" i="188" s="1"/>
  <c r="C22" i="188"/>
  <c r="H22" i="188" s="1"/>
  <c r="I22" i="188" s="1"/>
  <c r="O22" i="188" s="1"/>
  <c r="P21" i="188"/>
  <c r="J21" i="188"/>
  <c r="E21" i="188" a="1"/>
  <c r="E21" i="188" s="1"/>
  <c r="D21" i="188"/>
  <c r="L21" i="188" s="1"/>
  <c r="M21" i="188" s="1"/>
  <c r="C21" i="188"/>
  <c r="F21" i="188" s="1"/>
  <c r="P20" i="188"/>
  <c r="J20" i="188"/>
  <c r="D20" i="188"/>
  <c r="L20" i="188" s="1"/>
  <c r="M20" i="188" s="1"/>
  <c r="C20" i="188"/>
  <c r="H20" i="188" s="1"/>
  <c r="I20" i="188" s="1"/>
  <c r="O20" i="188" s="1"/>
  <c r="P19" i="188"/>
  <c r="J19" i="188"/>
  <c r="E19" i="188" a="1"/>
  <c r="E19" i="188" s="1"/>
  <c r="D19" i="188"/>
  <c r="L19" i="188" s="1"/>
  <c r="M19" i="188" s="1"/>
  <c r="C19" i="188"/>
  <c r="F19" i="188" s="1"/>
  <c r="P17" i="188"/>
  <c r="N17" i="188"/>
  <c r="E17" i="188"/>
  <c r="P16" i="188"/>
  <c r="N16" i="188"/>
  <c r="E16" i="188"/>
  <c r="N15" i="188"/>
  <c r="J15" i="188"/>
  <c r="J16" i="188" s="1"/>
  <c r="E15" i="188"/>
  <c r="P15" i="188" s="1"/>
  <c r="P14" i="188"/>
  <c r="J14" i="188"/>
  <c r="S13" i="188"/>
  <c r="P13" i="188"/>
  <c r="O13" i="188"/>
  <c r="P11" i="188"/>
  <c r="J11" i="188"/>
  <c r="P10" i="188"/>
  <c r="J10" i="188"/>
  <c r="M11" i="188" s="1"/>
  <c r="S6" i="188" s="1"/>
  <c r="E10" i="188"/>
  <c r="O9" i="188"/>
  <c r="S8" i="188"/>
  <c r="P8" i="188"/>
  <c r="J8" i="188"/>
  <c r="J9" i="188" s="1"/>
  <c r="L7" i="188"/>
  <c r="F7" i="188"/>
  <c r="E7" i="188" a="1"/>
  <c r="E7" i="188" s="1"/>
  <c r="P7" i="188" s="1" a="1"/>
  <c r="P7" i="188" s="1"/>
  <c r="X6" i="188"/>
  <c r="O92" i="188" s="1"/>
  <c r="V6" i="188"/>
  <c r="U6" i="188"/>
  <c r="T6" i="188"/>
  <c r="R6" i="188"/>
  <c r="P5" i="188"/>
  <c r="N5" i="188"/>
  <c r="M5" i="188"/>
  <c r="K5" i="188"/>
  <c r="J5" i="188"/>
  <c r="J13" i="188" s="1"/>
  <c r="N4" i="188"/>
  <c r="M4" i="188"/>
  <c r="J4" i="188"/>
  <c r="F4" i="188"/>
  <c r="E4" i="188"/>
  <c r="E9" i="188" s="1"/>
  <c r="P9" i="188" s="1"/>
  <c r="O49" i="67"/>
  <c r="O92" i="6"/>
  <c r="O92" i="148"/>
  <c r="O92" i="171"/>
  <c r="O92" i="172"/>
  <c r="O92" i="175"/>
  <c r="O92" i="176"/>
  <c r="O92" i="177"/>
  <c r="O92" i="187"/>
  <c r="O92" i="179"/>
  <c r="O92" i="178"/>
  <c r="O92" i="181"/>
  <c r="O92" i="183"/>
  <c r="O92" i="184"/>
  <c r="O92" i="185"/>
  <c r="X6" i="186"/>
  <c r="O92" i="186"/>
  <c r="L66" i="191" l="1"/>
  <c r="L67" i="191" s="1"/>
  <c r="P64" i="191"/>
  <c r="P67" i="191" s="1"/>
  <c r="N7" i="190"/>
  <c r="S11" i="190" s="1"/>
  <c r="A7" i="190"/>
  <c r="J7" i="189"/>
  <c r="A7" i="189"/>
  <c r="N7" i="189"/>
  <c r="S11" i="189" s="1"/>
  <c r="N7" i="188"/>
  <c r="S11" i="188" s="1"/>
  <c r="A7" i="188"/>
  <c r="P67" i="193"/>
  <c r="N7" i="193"/>
  <c r="S11" i="193" s="1"/>
  <c r="S10" i="193"/>
  <c r="K14" i="193"/>
  <c r="S9" i="193"/>
  <c r="I19" i="193"/>
  <c r="O19" i="193" s="1"/>
  <c r="I66" i="193"/>
  <c r="O73" i="193" s="1"/>
  <c r="A7" i="193"/>
  <c r="F27" i="193"/>
  <c r="P66" i="193" a="1"/>
  <c r="P66" i="193" s="1"/>
  <c r="E7" i="193" a="1"/>
  <c r="E7" i="193" s="1"/>
  <c r="P7" i="193" s="1" a="1"/>
  <c r="P7" i="193" s="1"/>
  <c r="P91" i="193" s="1"/>
  <c r="F19" i="193"/>
  <c r="F21" i="193"/>
  <c r="F23" i="193"/>
  <c r="F25" i="193"/>
  <c r="E5" i="193"/>
  <c r="E9" i="193"/>
  <c r="P9" i="193" s="1"/>
  <c r="F20" i="193"/>
  <c r="F22" i="193"/>
  <c r="F24" i="193"/>
  <c r="F26" i="193"/>
  <c r="J7" i="193"/>
  <c r="S9" i="191"/>
  <c r="I19" i="191"/>
  <c r="O19" i="191" s="1"/>
  <c r="K14" i="191"/>
  <c r="S10" i="191"/>
  <c r="E19" i="191" a="1"/>
  <c r="E19" i="191" s="1"/>
  <c r="E21" i="191" a="1"/>
  <c r="E21" i="191" s="1"/>
  <c r="H66" i="191"/>
  <c r="A7" i="191"/>
  <c r="P66" i="191" a="1"/>
  <c r="P66" i="191" s="1"/>
  <c r="P91" i="191" s="1"/>
  <c r="J7" i="191"/>
  <c r="N7" i="191"/>
  <c r="S11" i="191" s="1"/>
  <c r="E64" i="191"/>
  <c r="F28" i="191"/>
  <c r="F20" i="191"/>
  <c r="F22" i="191"/>
  <c r="F24" i="191"/>
  <c r="F26" i="191"/>
  <c r="S10" i="190"/>
  <c r="K14" i="190"/>
  <c r="P67" i="190"/>
  <c r="P91" i="190"/>
  <c r="I66" i="190"/>
  <c r="O73" i="190" s="1"/>
  <c r="S12" i="190"/>
  <c r="H21" i="190"/>
  <c r="I21" i="190" s="1"/>
  <c r="O21" i="190" s="1"/>
  <c r="H25" i="190"/>
  <c r="I25" i="190" s="1"/>
  <c r="O25" i="190" s="1"/>
  <c r="J7" i="190"/>
  <c r="E5" i="190"/>
  <c r="E2" i="190" s="1"/>
  <c r="F27" i="190"/>
  <c r="E20" i="190" a="1"/>
  <c r="E20" i="190" s="1"/>
  <c r="E22" i="190" a="1"/>
  <c r="E22" i="190" s="1"/>
  <c r="H19" i="190"/>
  <c r="H23" i="190"/>
  <c r="I23" i="190" s="1"/>
  <c r="O23" i="190" s="1"/>
  <c r="S9" i="189"/>
  <c r="I19" i="189"/>
  <c r="O19" i="189" s="1"/>
  <c r="S7" i="189" s="1"/>
  <c r="S10" i="189"/>
  <c r="K14" i="189"/>
  <c r="P67" i="189"/>
  <c r="I66" i="189"/>
  <c r="O73" i="189" s="1"/>
  <c r="F27" i="189"/>
  <c r="F19" i="189"/>
  <c r="F23" i="189"/>
  <c r="S12" i="189"/>
  <c r="H21" i="189"/>
  <c r="I21" i="189" s="1"/>
  <c r="O21" i="189" s="1"/>
  <c r="H25" i="189"/>
  <c r="I25" i="189" s="1"/>
  <c r="O25" i="189" s="1"/>
  <c r="P19" i="189"/>
  <c r="E64" i="189"/>
  <c r="E20" i="189" a="1"/>
  <c r="E20" i="189" s="1"/>
  <c r="P91" i="189"/>
  <c r="E22" i="189" a="1"/>
  <c r="E22" i="189" s="1"/>
  <c r="E5" i="189"/>
  <c r="E2" i="189" s="1"/>
  <c r="P67" i="188"/>
  <c r="P91" i="188" s="1"/>
  <c r="K14" i="188"/>
  <c r="S10" i="188"/>
  <c r="F27" i="188"/>
  <c r="I66" i="188"/>
  <c r="O73" i="188" s="1"/>
  <c r="S12" i="188"/>
  <c r="H19" i="188"/>
  <c r="H21" i="188"/>
  <c r="I21" i="188" s="1"/>
  <c r="O21" i="188" s="1"/>
  <c r="H23" i="188"/>
  <c r="I23" i="188" s="1"/>
  <c r="O23" i="188" s="1"/>
  <c r="H25" i="188"/>
  <c r="I25" i="188" s="1"/>
  <c r="O25" i="188" s="1"/>
  <c r="J7" i="188"/>
  <c r="E5" i="188"/>
  <c r="E2" i="188" s="1"/>
  <c r="E20" i="188" a="1"/>
  <c r="E20" i="188" s="1"/>
  <c r="E22" i="188" a="1"/>
  <c r="E22" i="188" s="1"/>
  <c r="F20" i="188"/>
  <c r="F22" i="188"/>
  <c r="F24" i="188"/>
  <c r="F26" i="188"/>
  <c r="F28" i="188"/>
  <c r="X6" i="67"/>
  <c r="X6" i="6"/>
  <c r="X6" i="148"/>
  <c r="X6" i="171"/>
  <c r="X6" i="172"/>
  <c r="X6" i="175"/>
  <c r="X6" i="176"/>
  <c r="X6" i="177"/>
  <c r="X6" i="187"/>
  <c r="X6" i="179"/>
  <c r="X6" i="178"/>
  <c r="X6" i="181"/>
  <c r="X6" i="183"/>
  <c r="X6" i="184"/>
  <c r="X6" i="185"/>
  <c r="E2" i="191" l="1"/>
  <c r="S7" i="193"/>
  <c r="W6" i="193"/>
  <c r="Z6" i="193"/>
  <c r="P2" i="193" s="1"/>
  <c r="P92" i="193" s="1"/>
  <c r="E2" i="193"/>
  <c r="Z6" i="191"/>
  <c r="P2" i="191" s="1"/>
  <c r="P92" i="191" s="1"/>
  <c r="W6" i="191"/>
  <c r="S12" i="191"/>
  <c r="I66" i="191"/>
  <c r="O73" i="191" s="1"/>
  <c r="S7" i="191" s="1"/>
  <c r="S9" i="190"/>
  <c r="I19" i="190"/>
  <c r="O19" i="190" s="1"/>
  <c r="S7" i="190" s="1"/>
  <c r="Z6" i="190"/>
  <c r="P2" i="190" s="1"/>
  <c r="P92" i="190" s="1"/>
  <c r="W6" i="190"/>
  <c r="Z6" i="189"/>
  <c r="P2" i="189" s="1"/>
  <c r="P92" i="189" s="1"/>
  <c r="W6" i="189"/>
  <c r="Z6" i="188"/>
  <c r="P2" i="188" s="1"/>
  <c r="P92" i="188" s="1"/>
  <c r="W6" i="188"/>
  <c r="S9" i="188"/>
  <c r="I19" i="188"/>
  <c r="O19" i="188" s="1"/>
  <c r="S7" i="188" s="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S13" i="185"/>
  <c r="S8" i="185"/>
  <c r="V6" i="185"/>
  <c r="T6" i="185"/>
  <c r="R6" i="185"/>
  <c r="S13" i="184"/>
  <c r="S8" i="184"/>
  <c r="V6" i="184"/>
  <c r="T6" i="184"/>
  <c r="R6" i="184"/>
  <c r="S13" i="183"/>
  <c r="S8" i="183"/>
  <c r="V6" i="183"/>
  <c r="T6" i="183"/>
  <c r="R6" i="183"/>
  <c r="S13" i="181"/>
  <c r="S8" i="181"/>
  <c r="V6" i="181"/>
  <c r="T6" i="181"/>
  <c r="R6" i="181"/>
  <c r="S13" i="178"/>
  <c r="S8" i="178"/>
  <c r="V6" i="178"/>
  <c r="T6" i="178"/>
  <c r="R6" i="178"/>
  <c r="S13" i="179"/>
  <c r="S8" i="179"/>
  <c r="V6" i="179"/>
  <c r="T6" i="179"/>
  <c r="R6" i="179"/>
  <c r="S13" i="187"/>
  <c r="S10" i="187"/>
  <c r="S9" i="187"/>
  <c r="S8" i="187"/>
  <c r="V6" i="187"/>
  <c r="T6" i="187"/>
  <c r="R6" i="187"/>
  <c r="S13" i="177"/>
  <c r="S8" i="177"/>
  <c r="V6" i="177"/>
  <c r="T6" i="177"/>
  <c r="R6" i="177"/>
  <c r="S13" i="176"/>
  <c r="S8" i="176"/>
  <c r="V6" i="176"/>
  <c r="T6" i="176"/>
  <c r="R6" i="176"/>
  <c r="S13" i="175"/>
  <c r="S8" i="175"/>
  <c r="V6" i="175"/>
  <c r="T6" i="175"/>
  <c r="R6" i="175"/>
  <c r="S13" i="172"/>
  <c r="S8" i="172"/>
  <c r="V6" i="172"/>
  <c r="T6" i="172"/>
  <c r="R6" i="172"/>
  <c r="S13" i="171"/>
  <c r="S8" i="171"/>
  <c r="V6" i="171"/>
  <c r="T6" i="171"/>
  <c r="R6" i="171"/>
  <c r="S13" i="148"/>
  <c r="S8" i="148"/>
  <c r="V6" i="148"/>
  <c r="T6" i="148"/>
  <c r="R6" i="148"/>
  <c r="R6" i="67"/>
  <c r="S6" i="67"/>
  <c r="T6" i="67"/>
  <c r="V6" i="67"/>
  <c r="S13" i="67"/>
  <c r="S13" i="6"/>
  <c r="S8" i="6"/>
  <c r="V6" i="6"/>
  <c r="T6" i="6"/>
  <c r="R6" i="6"/>
  <c r="P90" i="187"/>
  <c r="O90" i="187"/>
  <c r="K90" i="187"/>
  <c r="I90" i="187"/>
  <c r="G90" i="187"/>
  <c r="P89" i="187"/>
  <c r="O89" i="187"/>
  <c r="K89" i="187"/>
  <c r="I89" i="187"/>
  <c r="G89" i="187"/>
  <c r="P88" i="187"/>
  <c r="O88" i="187"/>
  <c r="K88" i="187"/>
  <c r="I88" i="187"/>
  <c r="G88" i="187"/>
  <c r="P87" i="187"/>
  <c r="O87" i="187"/>
  <c r="K87" i="187"/>
  <c r="I87" i="187"/>
  <c r="G87" i="187"/>
  <c r="P86" i="187"/>
  <c r="O86" i="187"/>
  <c r="K86" i="187"/>
  <c r="I86" i="187"/>
  <c r="G86" i="187"/>
  <c r="P85" i="187"/>
  <c r="O85" i="187"/>
  <c r="K85" i="187"/>
  <c r="I85" i="187"/>
  <c r="G85" i="187"/>
  <c r="P84" i="187"/>
  <c r="O84" i="187"/>
  <c r="K84" i="187"/>
  <c r="I84" i="187"/>
  <c r="G84" i="187"/>
  <c r="P83" i="187"/>
  <c r="O83" i="187"/>
  <c r="K83" i="187"/>
  <c r="I83" i="187"/>
  <c r="G83" i="187"/>
  <c r="P82" i="187"/>
  <c r="O82" i="187"/>
  <c r="K82" i="187"/>
  <c r="I82" i="187"/>
  <c r="G82" i="187"/>
  <c r="P81" i="187"/>
  <c r="O81" i="187"/>
  <c r="K81" i="187"/>
  <c r="I81" i="187"/>
  <c r="G81" i="187"/>
  <c r="P80" i="187"/>
  <c r="O80" i="187"/>
  <c r="K80" i="187"/>
  <c r="I80" i="187"/>
  <c r="G80" i="187"/>
  <c r="P79" i="187"/>
  <c r="O79" i="187"/>
  <c r="K79" i="187"/>
  <c r="I79" i="187"/>
  <c r="G79" i="187"/>
  <c r="P78" i="187"/>
  <c r="O78" i="187"/>
  <c r="K78" i="187"/>
  <c r="I78" i="187"/>
  <c r="G78" i="187"/>
  <c r="P77" i="187"/>
  <c r="O77" i="187"/>
  <c r="K77" i="187"/>
  <c r="I77" i="187"/>
  <c r="G77" i="187"/>
  <c r="P76" i="187"/>
  <c r="O76" i="187"/>
  <c r="K76" i="187"/>
  <c r="I76" i="187"/>
  <c r="G76" i="187"/>
  <c r="P75" i="187"/>
  <c r="O75" i="187"/>
  <c r="K75" i="187"/>
  <c r="I75" i="187"/>
  <c r="G75" i="187"/>
  <c r="P74" i="187"/>
  <c r="O74" i="187"/>
  <c r="K74" i="187"/>
  <c r="I74" i="187"/>
  <c r="G74" i="187"/>
  <c r="P73" i="187"/>
  <c r="K73" i="187"/>
  <c r="I73" i="187"/>
  <c r="G73" i="187"/>
  <c r="P71" i="187"/>
  <c r="O71" i="187"/>
  <c r="K71" i="187"/>
  <c r="G71" i="187"/>
  <c r="P70" i="187"/>
  <c r="O70" i="187"/>
  <c r="N70" i="187"/>
  <c r="K70" i="187"/>
  <c r="G70" i="187"/>
  <c r="P69" i="187"/>
  <c r="O69" i="187"/>
  <c r="N69" i="187"/>
  <c r="K69" i="187"/>
  <c r="G69" i="187"/>
  <c r="N67" i="187"/>
  <c r="F66" i="187" a="1"/>
  <c r="F66" i="187" s="1"/>
  <c r="P65" i="187"/>
  <c r="K65" i="187"/>
  <c r="E65" i="187"/>
  <c r="O64" i="187"/>
  <c r="M64" i="187"/>
  <c r="L64" i="187"/>
  <c r="P64" i="187" s="1"/>
  <c r="K64" i="187"/>
  <c r="E64" i="187" s="1"/>
  <c r="J64" i="187"/>
  <c r="H64" i="187"/>
  <c r="I64" i="187" s="1"/>
  <c r="E57" i="187"/>
  <c r="P57" i="187" s="1"/>
  <c r="O56" i="187"/>
  <c r="N56" i="187"/>
  <c r="L56" i="187"/>
  <c r="K56" i="187"/>
  <c r="H56" i="187"/>
  <c r="F56" i="187"/>
  <c r="P56" i="187" s="1"/>
  <c r="E56" i="187"/>
  <c r="O55" i="187"/>
  <c r="N55" i="187"/>
  <c r="L55" i="187"/>
  <c r="K55" i="187"/>
  <c r="H55" i="187"/>
  <c r="F55" i="187"/>
  <c r="P55" i="187" s="1"/>
  <c r="E55" i="187"/>
  <c r="O54" i="187"/>
  <c r="N54" i="187"/>
  <c r="L54" i="187"/>
  <c r="K54" i="187"/>
  <c r="H54" i="187"/>
  <c r="F54" i="187"/>
  <c r="P54" i="187" s="1"/>
  <c r="E54" i="187"/>
  <c r="O53" i="187"/>
  <c r="N53" i="187"/>
  <c r="L53" i="187"/>
  <c r="K53" i="187"/>
  <c r="H53" i="187"/>
  <c r="F53" i="187"/>
  <c r="P53" i="187" s="1"/>
  <c r="E53" i="187"/>
  <c r="O52" i="187"/>
  <c r="N52" i="187"/>
  <c r="L52" i="187"/>
  <c r="K52" i="187"/>
  <c r="H52" i="187"/>
  <c r="F52" i="187"/>
  <c r="P52" i="187" s="1"/>
  <c r="E52" i="187"/>
  <c r="O51" i="187"/>
  <c r="N51" i="187"/>
  <c r="L51" i="187"/>
  <c r="K51" i="187"/>
  <c r="H51" i="187"/>
  <c r="F51" i="187"/>
  <c r="P51" i="187" s="1"/>
  <c r="E51" i="187"/>
  <c r="O50" i="187"/>
  <c r="N50" i="187"/>
  <c r="L50" i="187"/>
  <c r="K50" i="187"/>
  <c r="H50" i="187"/>
  <c r="F50" i="187"/>
  <c r="P50" i="187" s="1"/>
  <c r="E50" i="187"/>
  <c r="O49" i="187"/>
  <c r="N49" i="187"/>
  <c r="L49" i="187"/>
  <c r="K49" i="187"/>
  <c r="H49" i="187"/>
  <c r="F49" i="187"/>
  <c r="P49" i="187" s="1"/>
  <c r="E49" i="187"/>
  <c r="O48" i="187"/>
  <c r="N48" i="187"/>
  <c r="L48" i="187"/>
  <c r="K48" i="187"/>
  <c r="H48" i="187"/>
  <c r="F48" i="187"/>
  <c r="P48" i="187" s="1"/>
  <c r="E48" i="187"/>
  <c r="O47" i="187"/>
  <c r="N47" i="187"/>
  <c r="L47" i="187"/>
  <c r="K47" i="187"/>
  <c r="H47" i="187"/>
  <c r="F47" i="187"/>
  <c r="P47" i="187" s="1"/>
  <c r="E47" i="187"/>
  <c r="O46" i="187"/>
  <c r="N46" i="187"/>
  <c r="L46" i="187"/>
  <c r="K46" i="187"/>
  <c r="H46" i="187"/>
  <c r="F46" i="187"/>
  <c r="P46" i="187" s="1"/>
  <c r="E46" i="187"/>
  <c r="O45" i="187"/>
  <c r="N45" i="187"/>
  <c r="L45" i="187"/>
  <c r="K45" i="187"/>
  <c r="H45" i="187"/>
  <c r="F45" i="187"/>
  <c r="P45" i="187" s="1"/>
  <c r="E45" i="187"/>
  <c r="O44" i="187"/>
  <c r="N44" i="187"/>
  <c r="L44" i="187"/>
  <c r="K44" i="187"/>
  <c r="H44" i="187"/>
  <c r="F44" i="187"/>
  <c r="P44" i="187" s="1"/>
  <c r="E44" i="187"/>
  <c r="O43" i="187"/>
  <c r="N43" i="187"/>
  <c r="L43" i="187"/>
  <c r="K43" i="187"/>
  <c r="H43" i="187"/>
  <c r="F43" i="187"/>
  <c r="P43" i="187" s="1"/>
  <c r="E43" i="187"/>
  <c r="O42" i="187"/>
  <c r="N42" i="187"/>
  <c r="L42" i="187"/>
  <c r="K42" i="187"/>
  <c r="H42" i="187"/>
  <c r="F42" i="187"/>
  <c r="P42" i="187" s="1"/>
  <c r="E42" i="187"/>
  <c r="O41" i="187"/>
  <c r="N41" i="187"/>
  <c r="L41" i="187"/>
  <c r="K41" i="187"/>
  <c r="H41" i="187"/>
  <c r="F41" i="187"/>
  <c r="P41" i="187" s="1"/>
  <c r="E41" i="187"/>
  <c r="O40" i="187"/>
  <c r="N40" i="187"/>
  <c r="L40" i="187"/>
  <c r="K40" i="187"/>
  <c r="H40" i="187"/>
  <c r="F40" i="187"/>
  <c r="P40" i="187" s="1"/>
  <c r="E40" i="187"/>
  <c r="O39" i="187"/>
  <c r="N39" i="187"/>
  <c r="L39" i="187"/>
  <c r="K39" i="187"/>
  <c r="H39" i="187"/>
  <c r="F39" i="187"/>
  <c r="P39" i="187" s="1"/>
  <c r="E39" i="187"/>
  <c r="O38" i="187"/>
  <c r="N38" i="187"/>
  <c r="L38" i="187"/>
  <c r="K38" i="187"/>
  <c r="H38" i="187"/>
  <c r="F38" i="187"/>
  <c r="P38" i="187" s="1"/>
  <c r="E38" i="187"/>
  <c r="O37" i="187"/>
  <c r="N37" i="187"/>
  <c r="L37" i="187"/>
  <c r="K37" i="187"/>
  <c r="H37" i="187"/>
  <c r="F37" i="187"/>
  <c r="P37" i="187" s="1"/>
  <c r="E37" i="187"/>
  <c r="O36" i="187"/>
  <c r="N36" i="187"/>
  <c r="L36" i="187"/>
  <c r="K36" i="187"/>
  <c r="H36" i="187"/>
  <c r="F36" i="187"/>
  <c r="P36" i="187" s="1"/>
  <c r="E36" i="187"/>
  <c r="O34" i="187"/>
  <c r="N34" i="187"/>
  <c r="K34" i="187"/>
  <c r="H34" i="187"/>
  <c r="F34" i="187"/>
  <c r="P34" i="187" s="1"/>
  <c r="E34" i="187"/>
  <c r="O33" i="187"/>
  <c r="N33" i="187"/>
  <c r="K33" i="187"/>
  <c r="H33" i="187"/>
  <c r="F33" i="187"/>
  <c r="P33" i="187" s="1"/>
  <c r="E33" i="187"/>
  <c r="O32" i="187"/>
  <c r="N32" i="187"/>
  <c r="K32" i="187"/>
  <c r="H32" i="187"/>
  <c r="F32" i="187"/>
  <c r="E32" i="187"/>
  <c r="O31" i="187"/>
  <c r="N31" i="187"/>
  <c r="K31" i="187"/>
  <c r="H31" i="187"/>
  <c r="F31" i="187"/>
  <c r="P31" i="187" s="1"/>
  <c r="E31" i="187"/>
  <c r="O30" i="187"/>
  <c r="N30" i="187"/>
  <c r="K30" i="187"/>
  <c r="H30" i="187"/>
  <c r="F30" i="187"/>
  <c r="P30" i="187" s="1"/>
  <c r="E30" i="187"/>
  <c r="P28" i="187"/>
  <c r="J28" i="187"/>
  <c r="D28" i="187"/>
  <c r="L28" i="187" s="1"/>
  <c r="M28" i="187" s="1"/>
  <c r="C28" i="187"/>
  <c r="H28" i="187" s="1"/>
  <c r="I28" i="187" s="1"/>
  <c r="O28" i="187" s="1"/>
  <c r="A28" i="187"/>
  <c r="P27" i="187"/>
  <c r="J27" i="187"/>
  <c r="D27" i="187"/>
  <c r="L27" i="187" s="1"/>
  <c r="M27" i="187" s="1"/>
  <c r="C27" i="187"/>
  <c r="F27" i="187" s="1"/>
  <c r="A27" i="187"/>
  <c r="P26" i="187"/>
  <c r="J26" i="187"/>
  <c r="E26" i="187" a="1"/>
  <c r="E26" i="187" s="1"/>
  <c r="D26" i="187"/>
  <c r="L26" i="187" s="1"/>
  <c r="M26" i="187" s="1"/>
  <c r="C26" i="187"/>
  <c r="H26" i="187" s="1"/>
  <c r="I26" i="187" s="1"/>
  <c r="O26" i="187" s="1"/>
  <c r="P25" i="187"/>
  <c r="J25" i="187"/>
  <c r="E25" i="187" a="1"/>
  <c r="E25" i="187" s="1"/>
  <c r="D25" i="187"/>
  <c r="L25" i="187" s="1"/>
  <c r="M25" i="187" s="1"/>
  <c r="C25" i="187"/>
  <c r="H25" i="187" s="1"/>
  <c r="I25" i="187" s="1"/>
  <c r="O25" i="187" s="1"/>
  <c r="P24" i="187"/>
  <c r="J24" i="187"/>
  <c r="E24" i="187" a="1"/>
  <c r="E24" i="187" s="1"/>
  <c r="D24" i="187"/>
  <c r="L24" i="187" s="1"/>
  <c r="M24" i="187" s="1"/>
  <c r="C24" i="187"/>
  <c r="H24" i="187" s="1"/>
  <c r="I24" i="187" s="1"/>
  <c r="O24" i="187" s="1"/>
  <c r="P23" i="187"/>
  <c r="J23" i="187"/>
  <c r="E23" i="187" a="1"/>
  <c r="E23" i="187" s="1"/>
  <c r="D23" i="187"/>
  <c r="L23" i="187" s="1"/>
  <c r="M23" i="187" s="1"/>
  <c r="C23" i="187"/>
  <c r="H23" i="187" s="1"/>
  <c r="I23" i="187" s="1"/>
  <c r="O23" i="187" s="1"/>
  <c r="P22" i="187"/>
  <c r="J22" i="187"/>
  <c r="D22" i="187"/>
  <c r="L22" i="187" s="1"/>
  <c r="M22" i="187" s="1"/>
  <c r="C22" i="187"/>
  <c r="H22" i="187" s="1"/>
  <c r="I22" i="187" s="1"/>
  <c r="O22" i="187" s="1"/>
  <c r="P21" i="187"/>
  <c r="J21" i="187"/>
  <c r="E21" i="187" a="1"/>
  <c r="E21" i="187" s="1"/>
  <c r="D21" i="187"/>
  <c r="L21" i="187" s="1"/>
  <c r="M21" i="187" s="1"/>
  <c r="C21" i="187"/>
  <c r="H21" i="187" s="1"/>
  <c r="I21" i="187" s="1"/>
  <c r="O21" i="187" s="1"/>
  <c r="J20" i="187"/>
  <c r="D20" i="187"/>
  <c r="L20" i="187" s="1"/>
  <c r="M20" i="187" s="1"/>
  <c r="C20" i="187"/>
  <c r="H20" i="187" s="1"/>
  <c r="I20" i="187" s="1"/>
  <c r="O20" i="187" s="1"/>
  <c r="J19" i="187"/>
  <c r="D19" i="187"/>
  <c r="L19" i="187" s="1"/>
  <c r="M19" i="187" s="1"/>
  <c r="C19" i="187"/>
  <c r="H19" i="187" s="1"/>
  <c r="N17" i="187"/>
  <c r="E17" i="187"/>
  <c r="P17" i="187" s="1"/>
  <c r="P16" i="187"/>
  <c r="N16" i="187"/>
  <c r="E16" i="187"/>
  <c r="N15" i="187"/>
  <c r="J15" i="187"/>
  <c r="J16" i="187" s="1"/>
  <c r="E15" i="187"/>
  <c r="P15" i="187" s="1"/>
  <c r="J14" i="187"/>
  <c r="U6" i="187" s="1"/>
  <c r="P13" i="187"/>
  <c r="O13" i="187"/>
  <c r="P11" i="187"/>
  <c r="J11" i="187"/>
  <c r="J10" i="187"/>
  <c r="M11" i="187" s="1"/>
  <c r="S6" i="187" s="1"/>
  <c r="E10" i="187"/>
  <c r="O9" i="187"/>
  <c r="J8" i="187"/>
  <c r="J9" i="187" s="1"/>
  <c r="L7" i="187"/>
  <c r="F7" i="187"/>
  <c r="P5" i="187"/>
  <c r="P19" i="187" s="1"/>
  <c r="N5" i="187"/>
  <c r="M5" i="187"/>
  <c r="K5" i="187"/>
  <c r="J5" i="187"/>
  <c r="J13" i="187" s="1"/>
  <c r="N4" i="187"/>
  <c r="M4" i="187"/>
  <c r="J4" i="187"/>
  <c r="F4" i="187"/>
  <c r="E4" i="187"/>
  <c r="E9" i="187" s="1"/>
  <c r="P9" i="187" s="1"/>
  <c r="S13" i="186"/>
  <c r="P14" i="187" l="1"/>
  <c r="P20" i="187"/>
  <c r="P10" i="187"/>
  <c r="H66" i="187"/>
  <c r="P66" i="187" s="1" a="1"/>
  <c r="P66" i="187" s="1"/>
  <c r="E7" i="187" a="1"/>
  <c r="E7" i="187" s="1"/>
  <c r="P7" i="187" s="1" a="1"/>
  <c r="P7" i="187" s="1"/>
  <c r="F28" i="187"/>
  <c r="J67" i="187"/>
  <c r="S12" i="187"/>
  <c r="J7" i="187"/>
  <c r="P8" i="187"/>
  <c r="E19" i="187" a="1"/>
  <c r="E19" i="187" s="1"/>
  <c r="L65" i="187"/>
  <c r="K14" i="187"/>
  <c r="L66" i="187"/>
  <c r="L67" i="187" s="1"/>
  <c r="P67" i="187"/>
  <c r="I19" i="187"/>
  <c r="O19" i="187" s="1"/>
  <c r="H27" i="187"/>
  <c r="I27" i="187" s="1"/>
  <c r="O27" i="187" s="1"/>
  <c r="F19" i="187"/>
  <c r="F21" i="187"/>
  <c r="F23" i="187"/>
  <c r="F25" i="187"/>
  <c r="N7" i="187"/>
  <c r="S11" i="187" s="1"/>
  <c r="I66" i="187"/>
  <c r="O73" i="187" s="1"/>
  <c r="E5" i="187"/>
  <c r="F24" i="187"/>
  <c r="E20" i="187" a="1"/>
  <c r="E20" i="187" s="1"/>
  <c r="E22" i="187" a="1"/>
  <c r="E22" i="187" s="1"/>
  <c r="F20" i="187"/>
  <c r="F22" i="187"/>
  <c r="F26" i="187"/>
  <c r="A7" i="187"/>
  <c r="S8" i="186"/>
  <c r="V6" i="186"/>
  <c r="T6" i="186"/>
  <c r="R6" i="186"/>
  <c r="P90" i="186"/>
  <c r="O90" i="186"/>
  <c r="K90" i="186"/>
  <c r="I90" i="186"/>
  <c r="G90" i="186"/>
  <c r="P89" i="186"/>
  <c r="O89" i="186"/>
  <c r="K89" i="186"/>
  <c r="I89" i="186"/>
  <c r="G89" i="186"/>
  <c r="P88" i="186"/>
  <c r="O88" i="186"/>
  <c r="K88" i="186"/>
  <c r="I88" i="186"/>
  <c r="G88" i="186"/>
  <c r="P87" i="186"/>
  <c r="O87" i="186"/>
  <c r="K87" i="186"/>
  <c r="I87" i="186"/>
  <c r="G87" i="186"/>
  <c r="P86" i="186"/>
  <c r="O86" i="186"/>
  <c r="K86" i="186"/>
  <c r="I86" i="186"/>
  <c r="G86" i="186"/>
  <c r="P85" i="186"/>
  <c r="O85" i="186"/>
  <c r="K85" i="186"/>
  <c r="I85" i="186"/>
  <c r="G85" i="186"/>
  <c r="P84" i="186"/>
  <c r="O84" i="186"/>
  <c r="K84" i="186"/>
  <c r="I84" i="186"/>
  <c r="G84" i="186"/>
  <c r="P83" i="186"/>
  <c r="O83" i="186"/>
  <c r="K83" i="186"/>
  <c r="I83" i="186"/>
  <c r="G83" i="186"/>
  <c r="P82" i="186"/>
  <c r="O82" i="186"/>
  <c r="K82" i="186"/>
  <c r="I82" i="186"/>
  <c r="G82" i="186"/>
  <c r="P81" i="186"/>
  <c r="O81" i="186"/>
  <c r="K81" i="186"/>
  <c r="I81" i="186"/>
  <c r="G81" i="186"/>
  <c r="P80" i="186"/>
  <c r="O80" i="186"/>
  <c r="K80" i="186"/>
  <c r="I80" i="186"/>
  <c r="G80" i="186"/>
  <c r="P79" i="186"/>
  <c r="O79" i="186"/>
  <c r="K79" i="186"/>
  <c r="I79" i="186"/>
  <c r="G79" i="186"/>
  <c r="P78" i="186"/>
  <c r="O78" i="186"/>
  <c r="K78" i="186"/>
  <c r="I78" i="186"/>
  <c r="G78" i="186"/>
  <c r="P77" i="186"/>
  <c r="O77" i="186"/>
  <c r="K77" i="186"/>
  <c r="I77" i="186"/>
  <c r="G77" i="186"/>
  <c r="P76" i="186"/>
  <c r="O76" i="186"/>
  <c r="K76" i="186"/>
  <c r="I76" i="186"/>
  <c r="G76" i="186"/>
  <c r="P75" i="186"/>
  <c r="O75" i="186"/>
  <c r="K75" i="186"/>
  <c r="I75" i="186"/>
  <c r="G75" i="186"/>
  <c r="P74" i="186"/>
  <c r="O74" i="186"/>
  <c r="K74" i="186"/>
  <c r="I74" i="186"/>
  <c r="G74" i="186"/>
  <c r="P73" i="186"/>
  <c r="K73" i="186"/>
  <c r="I73" i="186"/>
  <c r="G73" i="186"/>
  <c r="P71" i="186"/>
  <c r="O71" i="186"/>
  <c r="K71" i="186"/>
  <c r="G71" i="186"/>
  <c r="P70" i="186"/>
  <c r="O70" i="186"/>
  <c r="N70" i="186"/>
  <c r="K70" i="186"/>
  <c r="G70" i="186"/>
  <c r="P69" i="186"/>
  <c r="O69" i="186"/>
  <c r="N69" i="186"/>
  <c r="K69" i="186"/>
  <c r="G69" i="186"/>
  <c r="N67" i="186"/>
  <c r="F66" i="186" a="1"/>
  <c r="F66" i="186" s="1"/>
  <c r="P65" i="186"/>
  <c r="K65" i="186"/>
  <c r="E65" i="186"/>
  <c r="O64" i="186"/>
  <c r="M64" i="186"/>
  <c r="L64" i="186"/>
  <c r="L65" i="186" s="1"/>
  <c r="K64" i="186"/>
  <c r="J64" i="186"/>
  <c r="H64" i="186"/>
  <c r="E57" i="186"/>
  <c r="P57" i="186" s="1"/>
  <c r="O56" i="186"/>
  <c r="N56" i="186"/>
  <c r="L56" i="186"/>
  <c r="K56" i="186"/>
  <c r="H56" i="186"/>
  <c r="F56" i="186"/>
  <c r="P56" i="186" s="1"/>
  <c r="E56" i="186"/>
  <c r="O55" i="186"/>
  <c r="N55" i="186"/>
  <c r="L55" i="186"/>
  <c r="K55" i="186"/>
  <c r="H55" i="186"/>
  <c r="F55" i="186"/>
  <c r="P55" i="186" s="1"/>
  <c r="E55" i="186"/>
  <c r="O54" i="186"/>
  <c r="N54" i="186"/>
  <c r="L54" i="186"/>
  <c r="K54" i="186"/>
  <c r="H54" i="186"/>
  <c r="F54" i="186"/>
  <c r="P54" i="186" s="1"/>
  <c r="E54" i="186"/>
  <c r="O53" i="186"/>
  <c r="N53" i="186"/>
  <c r="L53" i="186"/>
  <c r="K53" i="186"/>
  <c r="H53" i="186"/>
  <c r="F53" i="186"/>
  <c r="P53" i="186" s="1"/>
  <c r="E53" i="186"/>
  <c r="O52" i="186"/>
  <c r="N52" i="186"/>
  <c r="L52" i="186"/>
  <c r="K52" i="186"/>
  <c r="H52" i="186"/>
  <c r="F52" i="186"/>
  <c r="P52" i="186" s="1"/>
  <c r="E52" i="186"/>
  <c r="O51" i="186"/>
  <c r="N51" i="186"/>
  <c r="L51" i="186"/>
  <c r="K51" i="186"/>
  <c r="H51" i="186"/>
  <c r="F51" i="186"/>
  <c r="P51" i="186" s="1"/>
  <c r="E51" i="186"/>
  <c r="O50" i="186"/>
  <c r="N50" i="186"/>
  <c r="L50" i="186"/>
  <c r="K50" i="186"/>
  <c r="H50" i="186"/>
  <c r="F50" i="186"/>
  <c r="P50" i="186" s="1"/>
  <c r="E50" i="186"/>
  <c r="O49" i="186"/>
  <c r="N49" i="186"/>
  <c r="L49" i="186"/>
  <c r="K49" i="186"/>
  <c r="H49" i="186"/>
  <c r="F49" i="186"/>
  <c r="P49" i="186" s="1"/>
  <c r="E49" i="186"/>
  <c r="O48" i="186"/>
  <c r="N48" i="186"/>
  <c r="L48" i="186"/>
  <c r="K48" i="186"/>
  <c r="H48" i="186"/>
  <c r="F48" i="186"/>
  <c r="P48" i="186" s="1"/>
  <c r="E48" i="186"/>
  <c r="O47" i="186"/>
  <c r="N47" i="186"/>
  <c r="L47" i="186"/>
  <c r="K47" i="186"/>
  <c r="H47" i="186"/>
  <c r="F47" i="186"/>
  <c r="P47" i="186" s="1"/>
  <c r="E47" i="186"/>
  <c r="O46" i="186"/>
  <c r="N46" i="186"/>
  <c r="L46" i="186"/>
  <c r="K46" i="186"/>
  <c r="H46" i="186"/>
  <c r="F46" i="186"/>
  <c r="P46" i="186" s="1"/>
  <c r="E46" i="186"/>
  <c r="O45" i="186"/>
  <c r="N45" i="186"/>
  <c r="L45" i="186"/>
  <c r="K45" i="186"/>
  <c r="H45" i="186"/>
  <c r="F45" i="186"/>
  <c r="P45" i="186" s="1"/>
  <c r="E45" i="186"/>
  <c r="O44" i="186"/>
  <c r="N44" i="186"/>
  <c r="L44" i="186"/>
  <c r="K44" i="186"/>
  <c r="H44" i="186"/>
  <c r="F44" i="186"/>
  <c r="P44" i="186" s="1"/>
  <c r="E44" i="186"/>
  <c r="O43" i="186"/>
  <c r="N43" i="186"/>
  <c r="K43" i="186"/>
  <c r="H43" i="186"/>
  <c r="F43" i="186"/>
  <c r="P43" i="186" s="1"/>
  <c r="E43" i="186"/>
  <c r="O42" i="186"/>
  <c r="N42" i="186"/>
  <c r="K42" i="186"/>
  <c r="H42" i="186"/>
  <c r="F42" i="186"/>
  <c r="P42" i="186" s="1"/>
  <c r="E42" i="186"/>
  <c r="O41" i="186"/>
  <c r="N41" i="186"/>
  <c r="L41" i="186"/>
  <c r="K41" i="186"/>
  <c r="H41" i="186"/>
  <c r="F41" i="186"/>
  <c r="P41" i="186" s="1"/>
  <c r="E41" i="186"/>
  <c r="O40" i="186"/>
  <c r="N40" i="186"/>
  <c r="L40" i="186"/>
  <c r="K40" i="186"/>
  <c r="H40" i="186"/>
  <c r="F40" i="186"/>
  <c r="P40" i="186" s="1"/>
  <c r="E40" i="186"/>
  <c r="O39" i="186"/>
  <c r="N39" i="186"/>
  <c r="L39" i="186"/>
  <c r="K39" i="186"/>
  <c r="H39" i="186"/>
  <c r="F39" i="186"/>
  <c r="P39" i="186" s="1"/>
  <c r="E39" i="186"/>
  <c r="O38" i="186"/>
  <c r="N38" i="186"/>
  <c r="L38" i="186"/>
  <c r="K38" i="186"/>
  <c r="H38" i="186"/>
  <c r="F38" i="186"/>
  <c r="P38" i="186" s="1"/>
  <c r="E38" i="186"/>
  <c r="O37" i="186"/>
  <c r="N37" i="186"/>
  <c r="L37" i="186"/>
  <c r="K37" i="186"/>
  <c r="H37" i="186"/>
  <c r="F37" i="186"/>
  <c r="P37" i="186" s="1"/>
  <c r="E37" i="186"/>
  <c r="O36" i="186"/>
  <c r="N36" i="186"/>
  <c r="L36" i="186"/>
  <c r="K36" i="186"/>
  <c r="H36" i="186"/>
  <c r="F36" i="186"/>
  <c r="P36" i="186" s="1"/>
  <c r="E36" i="186"/>
  <c r="O34" i="186"/>
  <c r="N34" i="186"/>
  <c r="K34" i="186"/>
  <c r="H34" i="186"/>
  <c r="F34" i="186"/>
  <c r="P34" i="186" s="1"/>
  <c r="E34" i="186"/>
  <c r="O33" i="186"/>
  <c r="N33" i="186"/>
  <c r="K33" i="186"/>
  <c r="H33" i="186"/>
  <c r="F33" i="186"/>
  <c r="P33" i="186" s="1"/>
  <c r="E33" i="186"/>
  <c r="O32" i="186"/>
  <c r="N32" i="186"/>
  <c r="K32" i="186"/>
  <c r="H32" i="186"/>
  <c r="F32" i="186"/>
  <c r="P32" i="186" s="1"/>
  <c r="E32" i="186"/>
  <c r="O31" i="186"/>
  <c r="N31" i="186"/>
  <c r="K31" i="186"/>
  <c r="H31" i="186"/>
  <c r="F31" i="186"/>
  <c r="P31" i="186" s="1"/>
  <c r="E31" i="186"/>
  <c r="O30" i="186"/>
  <c r="N30" i="186"/>
  <c r="K30" i="186"/>
  <c r="H30" i="186"/>
  <c r="F30" i="186"/>
  <c r="P30" i="186" s="1"/>
  <c r="E30" i="186"/>
  <c r="P28" i="186"/>
  <c r="J28" i="186"/>
  <c r="D28" i="186"/>
  <c r="L28" i="186" s="1"/>
  <c r="M28" i="186" s="1"/>
  <c r="C28" i="186"/>
  <c r="H28" i="186" s="1"/>
  <c r="I28" i="186" s="1"/>
  <c r="O28" i="186" s="1"/>
  <c r="A28" i="186"/>
  <c r="P27" i="186"/>
  <c r="J27" i="186"/>
  <c r="D27" i="186"/>
  <c r="L27" i="186" s="1"/>
  <c r="M27" i="186" s="1"/>
  <c r="C27" i="186"/>
  <c r="F27" i="186" s="1"/>
  <c r="A27" i="186"/>
  <c r="P26" i="186"/>
  <c r="J26" i="186"/>
  <c r="E26" i="186" a="1"/>
  <c r="E26" i="186" s="1"/>
  <c r="D26" i="186"/>
  <c r="L26" i="186" s="1"/>
  <c r="M26" i="186" s="1"/>
  <c r="C26" i="186"/>
  <c r="H26" i="186" s="1"/>
  <c r="I26" i="186" s="1"/>
  <c r="O26" i="186" s="1"/>
  <c r="P25" i="186"/>
  <c r="J25" i="186"/>
  <c r="E25" i="186" a="1"/>
  <c r="E25" i="186" s="1"/>
  <c r="D25" i="186"/>
  <c r="L25" i="186" s="1"/>
  <c r="M25" i="186" s="1"/>
  <c r="C25" i="186"/>
  <c r="H25" i="186" s="1"/>
  <c r="I25" i="186" s="1"/>
  <c r="O25" i="186" s="1"/>
  <c r="P24" i="186"/>
  <c r="J24" i="186"/>
  <c r="E24" i="186" a="1"/>
  <c r="E24" i="186" s="1"/>
  <c r="D24" i="186"/>
  <c r="L24" i="186" s="1"/>
  <c r="M24" i="186" s="1"/>
  <c r="C24" i="186"/>
  <c r="H24" i="186" s="1"/>
  <c r="I24" i="186" s="1"/>
  <c r="O24" i="186" s="1"/>
  <c r="P23" i="186"/>
  <c r="J23" i="186"/>
  <c r="E23" i="186" a="1"/>
  <c r="E23" i="186" s="1"/>
  <c r="D23" i="186"/>
  <c r="L23" i="186" s="1"/>
  <c r="M23" i="186" s="1"/>
  <c r="C23" i="186"/>
  <c r="H23" i="186" s="1"/>
  <c r="I23" i="186" s="1"/>
  <c r="O23" i="186" s="1"/>
  <c r="P22" i="186"/>
  <c r="J22" i="186"/>
  <c r="E22" i="186" a="1"/>
  <c r="E22" i="186" s="1"/>
  <c r="D22" i="186"/>
  <c r="L22" i="186" s="1"/>
  <c r="M22" i="186" s="1"/>
  <c r="C22" i="186"/>
  <c r="F22" i="186" s="1"/>
  <c r="P21" i="186"/>
  <c r="J21" i="186"/>
  <c r="E21" i="186" a="1"/>
  <c r="E21" i="186" s="1"/>
  <c r="D21" i="186"/>
  <c r="L21" i="186" s="1"/>
  <c r="M21" i="186" s="1"/>
  <c r="C21" i="186"/>
  <c r="H21" i="186" s="1"/>
  <c r="I21" i="186" s="1"/>
  <c r="O21" i="186" s="1"/>
  <c r="J20" i="186"/>
  <c r="D20" i="186"/>
  <c r="L20" i="186" s="1"/>
  <c r="M20" i="186" s="1"/>
  <c r="C20" i="186"/>
  <c r="F20" i="186" s="1"/>
  <c r="J19" i="186"/>
  <c r="D19" i="186"/>
  <c r="L19" i="186" s="1"/>
  <c r="M19" i="186" s="1"/>
  <c r="C19" i="186"/>
  <c r="H19" i="186" s="1"/>
  <c r="N17" i="186"/>
  <c r="E17" i="186"/>
  <c r="P17" i="186" s="1"/>
  <c r="P16" i="186"/>
  <c r="N16" i="186"/>
  <c r="E16" i="186"/>
  <c r="N15" i="186"/>
  <c r="J15" i="186"/>
  <c r="J16" i="186" s="1"/>
  <c r="E15" i="186"/>
  <c r="P15" i="186" s="1"/>
  <c r="J14" i="186"/>
  <c r="U6" i="186" s="1"/>
  <c r="P13" i="186"/>
  <c r="O13" i="186"/>
  <c r="J13" i="186"/>
  <c r="P11" i="186"/>
  <c r="J11" i="186"/>
  <c r="J10" i="186"/>
  <c r="E10" i="186"/>
  <c r="O9" i="186"/>
  <c r="J8" i="186"/>
  <c r="J9" i="186" s="1"/>
  <c r="L7" i="186"/>
  <c r="F7" i="186"/>
  <c r="P5" i="186"/>
  <c r="P20" i="186" s="1"/>
  <c r="N5" i="186"/>
  <c r="M5" i="186"/>
  <c r="K5" i="186"/>
  <c r="J5" i="186"/>
  <c r="N4" i="186"/>
  <c r="M4" i="186"/>
  <c r="J4" i="186"/>
  <c r="F4" i="186"/>
  <c r="E4" i="186"/>
  <c r="E5" i="186" s="1"/>
  <c r="P90" i="185"/>
  <c r="O90" i="185"/>
  <c r="K90" i="185"/>
  <c r="I90" i="185"/>
  <c r="G90" i="185"/>
  <c r="P89" i="185"/>
  <c r="O89" i="185"/>
  <c r="K89" i="185"/>
  <c r="I89" i="185"/>
  <c r="G89" i="185"/>
  <c r="P88" i="185"/>
  <c r="O88" i="185"/>
  <c r="K88" i="185"/>
  <c r="I88" i="185"/>
  <c r="G88" i="185"/>
  <c r="P87" i="185"/>
  <c r="O87" i="185"/>
  <c r="K87" i="185"/>
  <c r="I87" i="185"/>
  <c r="G87" i="185"/>
  <c r="P86" i="185"/>
  <c r="O86" i="185"/>
  <c r="K86" i="185"/>
  <c r="I86" i="185"/>
  <c r="G86" i="185"/>
  <c r="P85" i="185"/>
  <c r="O85" i="185"/>
  <c r="K85" i="185"/>
  <c r="I85" i="185"/>
  <c r="G85" i="185"/>
  <c r="P84" i="185"/>
  <c r="O84" i="185"/>
  <c r="K84" i="185"/>
  <c r="I84" i="185"/>
  <c r="G84" i="185"/>
  <c r="P83" i="185"/>
  <c r="O83" i="185"/>
  <c r="K83" i="185"/>
  <c r="I83" i="185"/>
  <c r="G83" i="185"/>
  <c r="P82" i="185"/>
  <c r="O82" i="185"/>
  <c r="K82" i="185"/>
  <c r="I82" i="185"/>
  <c r="G82" i="185"/>
  <c r="P81" i="185"/>
  <c r="O81" i="185"/>
  <c r="K81" i="185"/>
  <c r="I81" i="185"/>
  <c r="G81" i="185"/>
  <c r="P80" i="185"/>
  <c r="O80" i="185"/>
  <c r="K80" i="185"/>
  <c r="I80" i="185"/>
  <c r="G80" i="185"/>
  <c r="P79" i="185"/>
  <c r="O79" i="185"/>
  <c r="K79" i="185"/>
  <c r="I79" i="185"/>
  <c r="G79" i="185"/>
  <c r="P78" i="185"/>
  <c r="O78" i="185"/>
  <c r="K78" i="185"/>
  <c r="I78" i="185"/>
  <c r="G78" i="185"/>
  <c r="P77" i="185"/>
  <c r="O77" i="185"/>
  <c r="K77" i="185"/>
  <c r="I77" i="185"/>
  <c r="G77" i="185"/>
  <c r="P76" i="185"/>
  <c r="O76" i="185"/>
  <c r="K76" i="185"/>
  <c r="I76" i="185"/>
  <c r="G76" i="185"/>
  <c r="P75" i="185"/>
  <c r="O75" i="185"/>
  <c r="K75" i="185"/>
  <c r="I75" i="185"/>
  <c r="G75" i="185"/>
  <c r="P74" i="185"/>
  <c r="O74" i="185"/>
  <c r="K74" i="185"/>
  <c r="I74" i="185"/>
  <c r="G74" i="185"/>
  <c r="P73" i="185"/>
  <c r="K73" i="185"/>
  <c r="I73" i="185"/>
  <c r="G73" i="185"/>
  <c r="P71" i="185"/>
  <c r="O71" i="185"/>
  <c r="K71" i="185"/>
  <c r="G71" i="185"/>
  <c r="P70" i="185"/>
  <c r="O70" i="185"/>
  <c r="N70" i="185"/>
  <c r="K70" i="185"/>
  <c r="G70" i="185"/>
  <c r="P69" i="185"/>
  <c r="O69" i="185"/>
  <c r="N69" i="185"/>
  <c r="K69" i="185"/>
  <c r="G69" i="185"/>
  <c r="N67" i="185"/>
  <c r="F66" i="185" a="1"/>
  <c r="F66" i="185" s="1"/>
  <c r="P65" i="185"/>
  <c r="K65" i="185"/>
  <c r="E65" i="185"/>
  <c r="O64" i="185"/>
  <c r="M64" i="185"/>
  <c r="L64" i="185"/>
  <c r="E64" i="185" s="1"/>
  <c r="K64" i="185"/>
  <c r="J64" i="185"/>
  <c r="H64" i="185"/>
  <c r="I64" i="185" s="1"/>
  <c r="E57" i="185"/>
  <c r="P57" i="185" s="1"/>
  <c r="O56" i="185"/>
  <c r="N56" i="185"/>
  <c r="L56" i="185"/>
  <c r="K56" i="185"/>
  <c r="H56" i="185"/>
  <c r="F56" i="185"/>
  <c r="P56" i="185" s="1"/>
  <c r="E56" i="185"/>
  <c r="O55" i="185"/>
  <c r="N55" i="185"/>
  <c r="L55" i="185"/>
  <c r="K55" i="185"/>
  <c r="H55" i="185"/>
  <c r="F55" i="185"/>
  <c r="P55" i="185" s="1"/>
  <c r="E55" i="185"/>
  <c r="O54" i="185"/>
  <c r="N54" i="185"/>
  <c r="L54" i="185"/>
  <c r="K54" i="185"/>
  <c r="H54" i="185"/>
  <c r="F54" i="185"/>
  <c r="P54" i="185" s="1"/>
  <c r="E54" i="185"/>
  <c r="O53" i="185"/>
  <c r="N53" i="185"/>
  <c r="L53" i="185"/>
  <c r="K53" i="185"/>
  <c r="H53" i="185"/>
  <c r="F53" i="185"/>
  <c r="P53" i="185" s="1"/>
  <c r="E53" i="185"/>
  <c r="O52" i="185"/>
  <c r="N52" i="185"/>
  <c r="L52" i="185"/>
  <c r="K52" i="185"/>
  <c r="H52" i="185"/>
  <c r="F52" i="185"/>
  <c r="P52" i="185" s="1"/>
  <c r="E52" i="185"/>
  <c r="O51" i="185"/>
  <c r="N51" i="185"/>
  <c r="L51" i="185"/>
  <c r="K51" i="185"/>
  <c r="H51" i="185"/>
  <c r="F51" i="185"/>
  <c r="P51" i="185" s="1"/>
  <c r="E51" i="185"/>
  <c r="O50" i="185"/>
  <c r="N50" i="185"/>
  <c r="L50" i="185"/>
  <c r="K50" i="185"/>
  <c r="H50" i="185"/>
  <c r="F50" i="185"/>
  <c r="P50" i="185" s="1"/>
  <c r="E50" i="185"/>
  <c r="O49" i="185"/>
  <c r="N49" i="185"/>
  <c r="L49" i="185"/>
  <c r="K49" i="185"/>
  <c r="H49" i="185"/>
  <c r="F49" i="185"/>
  <c r="P49" i="185" s="1"/>
  <c r="E49" i="185"/>
  <c r="O48" i="185"/>
  <c r="N48" i="185"/>
  <c r="L48" i="185"/>
  <c r="K48" i="185"/>
  <c r="H48" i="185"/>
  <c r="F48" i="185"/>
  <c r="P48" i="185" s="1"/>
  <c r="E48" i="185"/>
  <c r="O47" i="185"/>
  <c r="N47" i="185"/>
  <c r="L47" i="185"/>
  <c r="K47" i="185"/>
  <c r="H47" i="185"/>
  <c r="F47" i="185"/>
  <c r="P47" i="185" s="1"/>
  <c r="E47" i="185"/>
  <c r="O46" i="185"/>
  <c r="N46" i="185"/>
  <c r="L46" i="185"/>
  <c r="K46" i="185"/>
  <c r="H46" i="185"/>
  <c r="F46" i="185"/>
  <c r="P46" i="185" s="1"/>
  <c r="E46" i="185"/>
  <c r="O45" i="185"/>
  <c r="N45" i="185"/>
  <c r="L45" i="185"/>
  <c r="K45" i="185"/>
  <c r="H45" i="185"/>
  <c r="F45" i="185"/>
  <c r="P45" i="185" s="1"/>
  <c r="E45" i="185"/>
  <c r="O44" i="185"/>
  <c r="N44" i="185"/>
  <c r="L44" i="185"/>
  <c r="K44" i="185"/>
  <c r="H44" i="185"/>
  <c r="F44" i="185"/>
  <c r="P44" i="185" s="1"/>
  <c r="E44" i="185"/>
  <c r="O43" i="185"/>
  <c r="N43" i="185"/>
  <c r="L43" i="185"/>
  <c r="K43" i="185"/>
  <c r="H43" i="185"/>
  <c r="F43" i="185"/>
  <c r="P43" i="185" s="1"/>
  <c r="E43" i="185"/>
  <c r="O42" i="185"/>
  <c r="N42" i="185"/>
  <c r="L42" i="185"/>
  <c r="K42" i="185"/>
  <c r="H42" i="185"/>
  <c r="F42" i="185"/>
  <c r="P42" i="185" s="1"/>
  <c r="E42" i="185"/>
  <c r="O41" i="185"/>
  <c r="N41" i="185"/>
  <c r="L41" i="185"/>
  <c r="K41" i="185"/>
  <c r="H41" i="185"/>
  <c r="F41" i="185"/>
  <c r="P41" i="185" s="1"/>
  <c r="E41" i="185"/>
  <c r="O40" i="185"/>
  <c r="N40" i="185"/>
  <c r="L40" i="185"/>
  <c r="K40" i="185"/>
  <c r="H40" i="185"/>
  <c r="F40" i="185"/>
  <c r="P40" i="185" s="1"/>
  <c r="E40" i="185"/>
  <c r="O39" i="185"/>
  <c r="N39" i="185"/>
  <c r="L39" i="185"/>
  <c r="K39" i="185"/>
  <c r="H39" i="185"/>
  <c r="F39" i="185"/>
  <c r="P39" i="185" s="1"/>
  <c r="E39" i="185"/>
  <c r="O38" i="185"/>
  <c r="N38" i="185"/>
  <c r="L38" i="185"/>
  <c r="K38" i="185"/>
  <c r="H38" i="185"/>
  <c r="F38" i="185"/>
  <c r="P38" i="185" s="1"/>
  <c r="E38" i="185"/>
  <c r="O37" i="185"/>
  <c r="N37" i="185"/>
  <c r="L37" i="185"/>
  <c r="K37" i="185"/>
  <c r="H37" i="185"/>
  <c r="F37" i="185"/>
  <c r="P37" i="185" s="1"/>
  <c r="E37" i="185"/>
  <c r="O36" i="185"/>
  <c r="N36" i="185"/>
  <c r="L36" i="185"/>
  <c r="K36" i="185"/>
  <c r="H36" i="185"/>
  <c r="F36" i="185"/>
  <c r="P36" i="185" s="1"/>
  <c r="E36" i="185"/>
  <c r="O34" i="185"/>
  <c r="N34" i="185"/>
  <c r="K34" i="185"/>
  <c r="H34" i="185"/>
  <c r="F34" i="185"/>
  <c r="P34" i="185" s="1"/>
  <c r="E34" i="185"/>
  <c r="O33" i="185"/>
  <c r="N33" i="185"/>
  <c r="K33" i="185"/>
  <c r="H33" i="185"/>
  <c r="F33" i="185"/>
  <c r="P33" i="185" s="1"/>
  <c r="E33" i="185"/>
  <c r="O32" i="185"/>
  <c r="N32" i="185"/>
  <c r="K32" i="185"/>
  <c r="H32" i="185"/>
  <c r="F32" i="185"/>
  <c r="P32" i="185" s="1"/>
  <c r="E32" i="185"/>
  <c r="O31" i="185"/>
  <c r="N31" i="185"/>
  <c r="K31" i="185"/>
  <c r="H31" i="185"/>
  <c r="F31" i="185"/>
  <c r="P31" i="185" s="1"/>
  <c r="E31" i="185"/>
  <c r="O30" i="185"/>
  <c r="N30" i="185"/>
  <c r="K30" i="185"/>
  <c r="H30" i="185"/>
  <c r="F30" i="185"/>
  <c r="P30" i="185" s="1"/>
  <c r="E30" i="185"/>
  <c r="P28" i="185"/>
  <c r="J28" i="185"/>
  <c r="D28" i="185"/>
  <c r="L28" i="185" s="1"/>
  <c r="M28" i="185" s="1"/>
  <c r="C28" i="185"/>
  <c r="H28" i="185" s="1"/>
  <c r="I28" i="185" s="1"/>
  <c r="O28" i="185" s="1"/>
  <c r="A28" i="185"/>
  <c r="P27" i="185"/>
  <c r="J27" i="185"/>
  <c r="D27" i="185"/>
  <c r="L27" i="185" s="1"/>
  <c r="M27" i="185" s="1"/>
  <c r="C27" i="185"/>
  <c r="F27" i="185" s="1"/>
  <c r="A27" i="185"/>
  <c r="P26" i="185"/>
  <c r="J26" i="185"/>
  <c r="E26" i="185" a="1"/>
  <c r="E26" i="185" s="1"/>
  <c r="D26" i="185"/>
  <c r="L26" i="185" s="1"/>
  <c r="M26" i="185" s="1"/>
  <c r="C26" i="185"/>
  <c r="H26" i="185" s="1"/>
  <c r="I26" i="185" s="1"/>
  <c r="O26" i="185" s="1"/>
  <c r="P25" i="185"/>
  <c r="J25" i="185"/>
  <c r="E25" i="185" a="1"/>
  <c r="E25" i="185" s="1"/>
  <c r="D25" i="185"/>
  <c r="L25" i="185" s="1"/>
  <c r="M25" i="185" s="1"/>
  <c r="C25" i="185"/>
  <c r="F25" i="185" s="1"/>
  <c r="P24" i="185"/>
  <c r="J24" i="185"/>
  <c r="E24" i="185" a="1"/>
  <c r="E24" i="185" s="1"/>
  <c r="D24" i="185"/>
  <c r="L24" i="185" s="1"/>
  <c r="M24" i="185" s="1"/>
  <c r="C24" i="185"/>
  <c r="H24" i="185" s="1"/>
  <c r="I24" i="185" s="1"/>
  <c r="O24" i="185" s="1"/>
  <c r="P23" i="185"/>
  <c r="J23" i="185"/>
  <c r="E23" i="185" a="1"/>
  <c r="E23" i="185" s="1"/>
  <c r="D23" i="185"/>
  <c r="L23" i="185" s="1"/>
  <c r="M23" i="185" s="1"/>
  <c r="C23" i="185"/>
  <c r="F23" i="185" s="1"/>
  <c r="P22" i="185"/>
  <c r="J22" i="185"/>
  <c r="E22" i="185" a="1"/>
  <c r="E22" i="185" s="1"/>
  <c r="D22" i="185"/>
  <c r="L22" i="185" s="1"/>
  <c r="M22" i="185" s="1"/>
  <c r="C22" i="185"/>
  <c r="H22" i="185" s="1"/>
  <c r="I22" i="185" s="1"/>
  <c r="O22" i="185" s="1"/>
  <c r="P21" i="185"/>
  <c r="J21" i="185"/>
  <c r="E21" i="185" a="1"/>
  <c r="E21" i="185" s="1"/>
  <c r="D21" i="185"/>
  <c r="L21" i="185" s="1"/>
  <c r="M21" i="185" s="1"/>
  <c r="C21" i="185"/>
  <c r="F21" i="185" s="1"/>
  <c r="J20" i="185"/>
  <c r="D20" i="185"/>
  <c r="L20" i="185" s="1"/>
  <c r="M20" i="185" s="1"/>
  <c r="C20" i="185"/>
  <c r="H20" i="185" s="1"/>
  <c r="I20" i="185" s="1"/>
  <c r="O20" i="185" s="1"/>
  <c r="J19" i="185"/>
  <c r="D19" i="185"/>
  <c r="L19" i="185" s="1"/>
  <c r="M19" i="185" s="1"/>
  <c r="C19" i="185"/>
  <c r="F19" i="185" s="1"/>
  <c r="N17" i="185"/>
  <c r="E17" i="185"/>
  <c r="P17" i="185" s="1"/>
  <c r="P16" i="185"/>
  <c r="N16" i="185"/>
  <c r="E16" i="185"/>
  <c r="N15" i="185"/>
  <c r="J15" i="185"/>
  <c r="J16" i="185" s="1"/>
  <c r="E15" i="185"/>
  <c r="P15" i="185" s="1"/>
  <c r="J14" i="185"/>
  <c r="U6" i="185" s="1"/>
  <c r="P13" i="185"/>
  <c r="O13" i="185"/>
  <c r="P11" i="185"/>
  <c r="J11" i="185"/>
  <c r="J10" i="185"/>
  <c r="E10" i="185"/>
  <c r="O9" i="185"/>
  <c r="J8" i="185"/>
  <c r="J9" i="185" s="1"/>
  <c r="L7" i="185"/>
  <c r="F7" i="185"/>
  <c r="P5" i="185"/>
  <c r="P8" i="185" s="1"/>
  <c r="N5" i="185"/>
  <c r="M5" i="185"/>
  <c r="K5" i="185"/>
  <c r="J5" i="185"/>
  <c r="J13" i="185" s="1"/>
  <c r="N4" i="185"/>
  <c r="M4" i="185"/>
  <c r="J4" i="185"/>
  <c r="F4" i="185"/>
  <c r="E4" i="185"/>
  <c r="E20" i="185" s="1" a="1"/>
  <c r="E20" i="185" s="1"/>
  <c r="P90" i="184"/>
  <c r="O90" i="184"/>
  <c r="K90" i="184"/>
  <c r="I90" i="184"/>
  <c r="G90" i="184"/>
  <c r="P89" i="184"/>
  <c r="O89" i="184"/>
  <c r="K89" i="184"/>
  <c r="I89" i="184"/>
  <c r="G89" i="184"/>
  <c r="P88" i="184"/>
  <c r="O88" i="184"/>
  <c r="K88" i="184"/>
  <c r="I88" i="184"/>
  <c r="G88" i="184"/>
  <c r="P87" i="184"/>
  <c r="O87" i="184"/>
  <c r="K87" i="184"/>
  <c r="I87" i="184"/>
  <c r="G87" i="184"/>
  <c r="P86" i="184"/>
  <c r="O86" i="184"/>
  <c r="K86" i="184"/>
  <c r="I86" i="184"/>
  <c r="G86" i="184"/>
  <c r="P85" i="184"/>
  <c r="O85" i="184"/>
  <c r="K85" i="184"/>
  <c r="I85" i="184"/>
  <c r="G85" i="184"/>
  <c r="P84" i="184"/>
  <c r="O84" i="184"/>
  <c r="K84" i="184"/>
  <c r="I84" i="184"/>
  <c r="G84" i="184"/>
  <c r="P83" i="184"/>
  <c r="O83" i="184"/>
  <c r="K83" i="184"/>
  <c r="I83" i="184"/>
  <c r="G83" i="184"/>
  <c r="P82" i="184"/>
  <c r="O82" i="184"/>
  <c r="K82" i="184"/>
  <c r="I82" i="184"/>
  <c r="G82" i="184"/>
  <c r="P81" i="184"/>
  <c r="O81" i="184"/>
  <c r="K81" i="184"/>
  <c r="I81" i="184"/>
  <c r="G81" i="184"/>
  <c r="P80" i="184"/>
  <c r="O80" i="184"/>
  <c r="K80" i="184"/>
  <c r="I80" i="184"/>
  <c r="G80" i="184"/>
  <c r="P79" i="184"/>
  <c r="O79" i="184"/>
  <c r="K79" i="184"/>
  <c r="I79" i="184"/>
  <c r="G79" i="184"/>
  <c r="P78" i="184"/>
  <c r="O78" i="184"/>
  <c r="K78" i="184"/>
  <c r="I78" i="184"/>
  <c r="G78" i="184"/>
  <c r="P77" i="184"/>
  <c r="O77" i="184"/>
  <c r="K77" i="184"/>
  <c r="I77" i="184"/>
  <c r="G77" i="184"/>
  <c r="P76" i="184"/>
  <c r="O76" i="184"/>
  <c r="K76" i="184"/>
  <c r="I76" i="184"/>
  <c r="G76" i="184"/>
  <c r="P75" i="184"/>
  <c r="O75" i="184"/>
  <c r="K75" i="184"/>
  <c r="I75" i="184"/>
  <c r="G75" i="184"/>
  <c r="P74" i="184"/>
  <c r="O74" i="184"/>
  <c r="K74" i="184"/>
  <c r="I74" i="184"/>
  <c r="G74" i="184"/>
  <c r="P73" i="184"/>
  <c r="K73" i="184"/>
  <c r="I73" i="184"/>
  <c r="G73" i="184"/>
  <c r="P71" i="184"/>
  <c r="O71" i="184"/>
  <c r="K71" i="184"/>
  <c r="G71" i="184"/>
  <c r="P70" i="184"/>
  <c r="O70" i="184"/>
  <c r="N70" i="184"/>
  <c r="K70" i="184"/>
  <c r="G70" i="184"/>
  <c r="P69" i="184"/>
  <c r="O69" i="184"/>
  <c r="N69" i="184"/>
  <c r="K69" i="184"/>
  <c r="G69" i="184"/>
  <c r="N67" i="184"/>
  <c r="F66" i="184" a="1"/>
  <c r="F66" i="184" s="1"/>
  <c r="P65" i="184"/>
  <c r="K65" i="184"/>
  <c r="E65" i="184"/>
  <c r="O64" i="184"/>
  <c r="M64" i="184"/>
  <c r="L64" i="184"/>
  <c r="E64" i="184" s="1"/>
  <c r="K64" i="184"/>
  <c r="J64" i="184"/>
  <c r="H64" i="184"/>
  <c r="E57" i="184"/>
  <c r="P57" i="184" s="1"/>
  <c r="O56" i="184"/>
  <c r="N56" i="184"/>
  <c r="L56" i="184"/>
  <c r="K56" i="184"/>
  <c r="H56" i="184"/>
  <c r="F56" i="184"/>
  <c r="P56" i="184" s="1"/>
  <c r="E56" i="184"/>
  <c r="O55" i="184"/>
  <c r="N55" i="184"/>
  <c r="L55" i="184"/>
  <c r="K55" i="184"/>
  <c r="H55" i="184"/>
  <c r="F55" i="184"/>
  <c r="P55" i="184" s="1"/>
  <c r="E55" i="184"/>
  <c r="O54" i="184"/>
  <c r="N54" i="184"/>
  <c r="L54" i="184"/>
  <c r="K54" i="184"/>
  <c r="H54" i="184"/>
  <c r="F54" i="184"/>
  <c r="P54" i="184" s="1"/>
  <c r="E54" i="184"/>
  <c r="O53" i="184"/>
  <c r="N53" i="184"/>
  <c r="L53" i="184"/>
  <c r="K53" i="184"/>
  <c r="H53" i="184"/>
  <c r="F53" i="184"/>
  <c r="P53" i="184" s="1"/>
  <c r="E53" i="184"/>
  <c r="O52" i="184"/>
  <c r="N52" i="184"/>
  <c r="L52" i="184"/>
  <c r="K52" i="184"/>
  <c r="H52" i="184"/>
  <c r="F52" i="184"/>
  <c r="P52" i="184" s="1"/>
  <c r="E52" i="184"/>
  <c r="O51" i="184"/>
  <c r="N51" i="184"/>
  <c r="L51" i="184"/>
  <c r="K51" i="184"/>
  <c r="H51" i="184"/>
  <c r="F51" i="184"/>
  <c r="P51" i="184" s="1"/>
  <c r="E51" i="184"/>
  <c r="O50" i="184"/>
  <c r="N50" i="184"/>
  <c r="L50" i="184"/>
  <c r="K50" i="184"/>
  <c r="H50" i="184"/>
  <c r="F50" i="184"/>
  <c r="P50" i="184" s="1"/>
  <c r="E50" i="184"/>
  <c r="O49" i="184"/>
  <c r="N49" i="184"/>
  <c r="L49" i="184"/>
  <c r="K49" i="184"/>
  <c r="H49" i="184"/>
  <c r="F49" i="184"/>
  <c r="P49" i="184" s="1"/>
  <c r="E49" i="184"/>
  <c r="O48" i="184"/>
  <c r="N48" i="184"/>
  <c r="L48" i="184"/>
  <c r="K48" i="184"/>
  <c r="H48" i="184"/>
  <c r="F48" i="184"/>
  <c r="P48" i="184" s="1"/>
  <c r="E48" i="184"/>
  <c r="O47" i="184"/>
  <c r="N47" i="184"/>
  <c r="L47" i="184"/>
  <c r="K47" i="184"/>
  <c r="H47" i="184"/>
  <c r="F47" i="184"/>
  <c r="P47" i="184" s="1"/>
  <c r="E47" i="184"/>
  <c r="O46" i="184"/>
  <c r="N46" i="184"/>
  <c r="L46" i="184"/>
  <c r="K46" i="184"/>
  <c r="H46" i="184"/>
  <c r="F46" i="184"/>
  <c r="P46" i="184" s="1"/>
  <c r="E46" i="184"/>
  <c r="O45" i="184"/>
  <c r="N45" i="184"/>
  <c r="L45" i="184"/>
  <c r="K45" i="184"/>
  <c r="H45" i="184"/>
  <c r="F45" i="184"/>
  <c r="P45" i="184" s="1"/>
  <c r="E45" i="184"/>
  <c r="O44" i="184"/>
  <c r="N44" i="184"/>
  <c r="L44" i="184"/>
  <c r="K44" i="184"/>
  <c r="H44" i="184"/>
  <c r="F44" i="184"/>
  <c r="P44" i="184" s="1"/>
  <c r="E44" i="184"/>
  <c r="O43" i="184"/>
  <c r="N43" i="184"/>
  <c r="L43" i="184"/>
  <c r="K43" i="184"/>
  <c r="H43" i="184"/>
  <c r="F43" i="184"/>
  <c r="P43" i="184" s="1"/>
  <c r="E43" i="184"/>
  <c r="O42" i="184"/>
  <c r="N42" i="184"/>
  <c r="L42" i="184"/>
  <c r="K42" i="184"/>
  <c r="H42" i="184"/>
  <c r="F42" i="184"/>
  <c r="P42" i="184" s="1"/>
  <c r="E42" i="184"/>
  <c r="O41" i="184"/>
  <c r="N41" i="184"/>
  <c r="L41" i="184"/>
  <c r="K41" i="184"/>
  <c r="H41" i="184"/>
  <c r="F41" i="184"/>
  <c r="P41" i="184" s="1"/>
  <c r="E41" i="184"/>
  <c r="O40" i="184"/>
  <c r="N40" i="184"/>
  <c r="L40" i="184"/>
  <c r="K40" i="184"/>
  <c r="H40" i="184"/>
  <c r="F40" i="184"/>
  <c r="P40" i="184" s="1"/>
  <c r="E40" i="184"/>
  <c r="O39" i="184"/>
  <c r="N39" i="184"/>
  <c r="L39" i="184"/>
  <c r="K39" i="184"/>
  <c r="H39" i="184"/>
  <c r="F39" i="184"/>
  <c r="P39" i="184" s="1"/>
  <c r="E39" i="184"/>
  <c r="O38" i="184"/>
  <c r="N38" i="184"/>
  <c r="L38" i="184"/>
  <c r="K38" i="184"/>
  <c r="H38" i="184"/>
  <c r="F38" i="184"/>
  <c r="P38" i="184" s="1"/>
  <c r="E38" i="184"/>
  <c r="O37" i="184"/>
  <c r="N37" i="184"/>
  <c r="L37" i="184"/>
  <c r="K37" i="184"/>
  <c r="H37" i="184"/>
  <c r="F37" i="184"/>
  <c r="P37" i="184" s="1"/>
  <c r="E37" i="184"/>
  <c r="O36" i="184"/>
  <c r="N36" i="184"/>
  <c r="L36" i="184"/>
  <c r="K36" i="184"/>
  <c r="H36" i="184"/>
  <c r="F36" i="184"/>
  <c r="P36" i="184" s="1"/>
  <c r="E36" i="184"/>
  <c r="O34" i="184"/>
  <c r="N34" i="184"/>
  <c r="K34" i="184"/>
  <c r="H34" i="184"/>
  <c r="F34" i="184"/>
  <c r="P34" i="184" s="1"/>
  <c r="E34" i="184"/>
  <c r="O33" i="184"/>
  <c r="N33" i="184"/>
  <c r="K33" i="184"/>
  <c r="H33" i="184"/>
  <c r="F33" i="184"/>
  <c r="P33" i="184" s="1"/>
  <c r="E33" i="184"/>
  <c r="O32" i="184"/>
  <c r="N32" i="184"/>
  <c r="K32" i="184"/>
  <c r="H32" i="184"/>
  <c r="F32" i="184"/>
  <c r="P32" i="184" s="1"/>
  <c r="E32" i="184"/>
  <c r="O31" i="184"/>
  <c r="N31" i="184"/>
  <c r="K31" i="184"/>
  <c r="H31" i="184"/>
  <c r="F31" i="184"/>
  <c r="P31" i="184" s="1"/>
  <c r="E31" i="184"/>
  <c r="O30" i="184"/>
  <c r="N30" i="184"/>
  <c r="K30" i="184"/>
  <c r="H30" i="184"/>
  <c r="F30" i="184"/>
  <c r="P30" i="184" s="1"/>
  <c r="E30" i="184"/>
  <c r="P28" i="184"/>
  <c r="J28" i="184"/>
  <c r="D28" i="184"/>
  <c r="L28" i="184" s="1"/>
  <c r="M28" i="184" s="1"/>
  <c r="C28" i="184"/>
  <c r="F28" i="184" s="1"/>
  <c r="A28" i="184"/>
  <c r="P27" i="184"/>
  <c r="J27" i="184"/>
  <c r="D27" i="184"/>
  <c r="L27" i="184" s="1"/>
  <c r="M27" i="184" s="1"/>
  <c r="C27" i="184"/>
  <c r="H27" i="184" s="1"/>
  <c r="I27" i="184" s="1"/>
  <c r="O27" i="184" s="1"/>
  <c r="A27" i="184"/>
  <c r="P26" i="184"/>
  <c r="J26" i="184"/>
  <c r="E26" i="184" a="1"/>
  <c r="E26" i="184" s="1"/>
  <c r="D26" i="184"/>
  <c r="L26" i="184" s="1"/>
  <c r="M26" i="184" s="1"/>
  <c r="C26" i="184"/>
  <c r="H26" i="184" s="1"/>
  <c r="I26" i="184" s="1"/>
  <c r="O26" i="184" s="1"/>
  <c r="P25" i="184"/>
  <c r="J25" i="184"/>
  <c r="E25" i="184" a="1"/>
  <c r="E25" i="184" s="1"/>
  <c r="D25" i="184"/>
  <c r="L25" i="184" s="1"/>
  <c r="M25" i="184" s="1"/>
  <c r="C25" i="184"/>
  <c r="F25" i="184" s="1"/>
  <c r="P24" i="184"/>
  <c r="J24" i="184"/>
  <c r="E24" i="184" a="1"/>
  <c r="E24" i="184" s="1"/>
  <c r="D24" i="184"/>
  <c r="L24" i="184" s="1"/>
  <c r="M24" i="184" s="1"/>
  <c r="C24" i="184"/>
  <c r="H24" i="184" s="1"/>
  <c r="I24" i="184" s="1"/>
  <c r="O24" i="184" s="1"/>
  <c r="P23" i="184"/>
  <c r="J23" i="184"/>
  <c r="E23" i="184" a="1"/>
  <c r="E23" i="184" s="1"/>
  <c r="D23" i="184"/>
  <c r="L23" i="184" s="1"/>
  <c r="M23" i="184" s="1"/>
  <c r="C23" i="184"/>
  <c r="F23" i="184" s="1"/>
  <c r="P22" i="184"/>
  <c r="J22" i="184"/>
  <c r="E22" i="184" a="1"/>
  <c r="E22" i="184" s="1"/>
  <c r="D22" i="184"/>
  <c r="L22" i="184" s="1"/>
  <c r="M22" i="184" s="1"/>
  <c r="C22" i="184"/>
  <c r="H22" i="184" s="1"/>
  <c r="I22" i="184" s="1"/>
  <c r="O22" i="184" s="1"/>
  <c r="P21" i="184"/>
  <c r="J21" i="184"/>
  <c r="D21" i="184"/>
  <c r="L21" i="184" s="1"/>
  <c r="M21" i="184" s="1"/>
  <c r="C21" i="184"/>
  <c r="F21" i="184" s="1"/>
  <c r="J20" i="184"/>
  <c r="D20" i="184"/>
  <c r="L20" i="184" s="1"/>
  <c r="M20" i="184" s="1"/>
  <c r="C20" i="184"/>
  <c r="H20" i="184" s="1"/>
  <c r="I20" i="184" s="1"/>
  <c r="O20" i="184" s="1"/>
  <c r="J19" i="184"/>
  <c r="D19" i="184"/>
  <c r="L19" i="184" s="1"/>
  <c r="M19" i="184" s="1"/>
  <c r="C19" i="184"/>
  <c r="F19" i="184" s="1"/>
  <c r="N17" i="184"/>
  <c r="E17" i="184"/>
  <c r="P17" i="184" s="1"/>
  <c r="P16" i="184"/>
  <c r="N16" i="184"/>
  <c r="E16" i="184"/>
  <c r="N15" i="184"/>
  <c r="J15" i="184"/>
  <c r="J16" i="184" s="1"/>
  <c r="E15" i="184"/>
  <c r="P15" i="184" s="1"/>
  <c r="J14" i="184"/>
  <c r="U6" i="184" s="1"/>
  <c r="P13" i="184"/>
  <c r="O13" i="184"/>
  <c r="P11" i="184"/>
  <c r="J11" i="184"/>
  <c r="J10" i="184"/>
  <c r="E10" i="184"/>
  <c r="O9" i="184"/>
  <c r="J8" i="184"/>
  <c r="J9" i="184" s="1"/>
  <c r="L7" i="184"/>
  <c r="F7" i="184"/>
  <c r="P5" i="184"/>
  <c r="P19" i="184" s="1"/>
  <c r="N5" i="184"/>
  <c r="M5" i="184"/>
  <c r="K5" i="184"/>
  <c r="J5" i="184"/>
  <c r="J13" i="184" s="1"/>
  <c r="N4" i="184"/>
  <c r="M4" i="184"/>
  <c r="J4" i="184"/>
  <c r="F4" i="184"/>
  <c r="E4" i="184"/>
  <c r="E20" i="184" s="1" a="1"/>
  <c r="E20" i="184" s="1"/>
  <c r="P90" i="183"/>
  <c r="O90" i="183"/>
  <c r="K90" i="183"/>
  <c r="I90" i="183"/>
  <c r="G90" i="183"/>
  <c r="P89" i="183"/>
  <c r="O89" i="183"/>
  <c r="K89" i="183"/>
  <c r="I89" i="183"/>
  <c r="G89" i="183"/>
  <c r="P88" i="183"/>
  <c r="O88" i="183"/>
  <c r="K88" i="183"/>
  <c r="I88" i="183"/>
  <c r="G88" i="183"/>
  <c r="P87" i="183"/>
  <c r="O87" i="183"/>
  <c r="K87" i="183"/>
  <c r="I87" i="183"/>
  <c r="G87" i="183"/>
  <c r="P86" i="183"/>
  <c r="O86" i="183"/>
  <c r="K86" i="183"/>
  <c r="I86" i="183"/>
  <c r="G86" i="183"/>
  <c r="P85" i="183"/>
  <c r="O85" i="183"/>
  <c r="K85" i="183"/>
  <c r="I85" i="183"/>
  <c r="G85" i="183"/>
  <c r="P84" i="183"/>
  <c r="O84" i="183"/>
  <c r="K84" i="183"/>
  <c r="I84" i="183"/>
  <c r="G84" i="183"/>
  <c r="P83" i="183"/>
  <c r="O83" i="183"/>
  <c r="K83" i="183"/>
  <c r="I83" i="183"/>
  <c r="G83" i="183"/>
  <c r="P82" i="183"/>
  <c r="O82" i="183"/>
  <c r="K82" i="183"/>
  <c r="I82" i="183"/>
  <c r="G82" i="183"/>
  <c r="P81" i="183"/>
  <c r="O81" i="183"/>
  <c r="K81" i="183"/>
  <c r="I81" i="183"/>
  <c r="G81" i="183"/>
  <c r="P80" i="183"/>
  <c r="O80" i="183"/>
  <c r="K80" i="183"/>
  <c r="I80" i="183"/>
  <c r="G80" i="183"/>
  <c r="P79" i="183"/>
  <c r="O79" i="183"/>
  <c r="K79" i="183"/>
  <c r="I79" i="183"/>
  <c r="G79" i="183"/>
  <c r="P78" i="183"/>
  <c r="O78" i="183"/>
  <c r="K78" i="183"/>
  <c r="I78" i="183"/>
  <c r="G78" i="183"/>
  <c r="P77" i="183"/>
  <c r="O77" i="183"/>
  <c r="K77" i="183"/>
  <c r="I77" i="183"/>
  <c r="G77" i="183"/>
  <c r="P76" i="183"/>
  <c r="O76" i="183"/>
  <c r="K76" i="183"/>
  <c r="I76" i="183"/>
  <c r="G76" i="183"/>
  <c r="P75" i="183"/>
  <c r="O75" i="183"/>
  <c r="K75" i="183"/>
  <c r="I75" i="183"/>
  <c r="G75" i="183"/>
  <c r="P74" i="183"/>
  <c r="O74" i="183"/>
  <c r="K74" i="183"/>
  <c r="I74" i="183"/>
  <c r="G74" i="183"/>
  <c r="P73" i="183"/>
  <c r="K73" i="183"/>
  <c r="I73" i="183"/>
  <c r="G73" i="183"/>
  <c r="P71" i="183"/>
  <c r="O71" i="183"/>
  <c r="K71" i="183"/>
  <c r="G71" i="183"/>
  <c r="P70" i="183"/>
  <c r="O70" i="183"/>
  <c r="N70" i="183"/>
  <c r="K70" i="183"/>
  <c r="G70" i="183"/>
  <c r="P69" i="183"/>
  <c r="O69" i="183"/>
  <c r="N69" i="183"/>
  <c r="K69" i="183"/>
  <c r="G69" i="183"/>
  <c r="N67" i="183"/>
  <c r="F66" i="183" a="1"/>
  <c r="F66" i="183" s="1"/>
  <c r="P65" i="183"/>
  <c r="K65" i="183"/>
  <c r="E65" i="183"/>
  <c r="O64" i="183"/>
  <c r="M64" i="183"/>
  <c r="L64" i="183"/>
  <c r="E64" i="183" s="1"/>
  <c r="K64" i="183"/>
  <c r="J64" i="183"/>
  <c r="H64" i="183"/>
  <c r="E57" i="183"/>
  <c r="P57" i="183" s="1"/>
  <c r="O56" i="183"/>
  <c r="N56" i="183"/>
  <c r="L56" i="183"/>
  <c r="K56" i="183"/>
  <c r="H56" i="183"/>
  <c r="F56" i="183"/>
  <c r="P56" i="183" s="1"/>
  <c r="E56" i="183"/>
  <c r="O55" i="183"/>
  <c r="N55" i="183"/>
  <c r="L55" i="183"/>
  <c r="K55" i="183"/>
  <c r="H55" i="183"/>
  <c r="F55" i="183"/>
  <c r="P55" i="183" s="1"/>
  <c r="E55" i="183"/>
  <c r="O54" i="183"/>
  <c r="N54" i="183"/>
  <c r="L54" i="183"/>
  <c r="K54" i="183"/>
  <c r="H54" i="183"/>
  <c r="F54" i="183"/>
  <c r="P54" i="183" s="1"/>
  <c r="E54" i="183"/>
  <c r="O53" i="183"/>
  <c r="N53" i="183"/>
  <c r="L53" i="183"/>
  <c r="K53" i="183"/>
  <c r="H53" i="183"/>
  <c r="F53" i="183"/>
  <c r="P53" i="183" s="1"/>
  <c r="E53" i="183"/>
  <c r="O52" i="183"/>
  <c r="N52" i="183"/>
  <c r="L52" i="183"/>
  <c r="K52" i="183"/>
  <c r="H52" i="183"/>
  <c r="F52" i="183"/>
  <c r="P52" i="183" s="1"/>
  <c r="E52" i="183"/>
  <c r="O51" i="183"/>
  <c r="N51" i="183"/>
  <c r="L51" i="183"/>
  <c r="K51" i="183"/>
  <c r="H51" i="183"/>
  <c r="F51" i="183"/>
  <c r="P51" i="183" s="1"/>
  <c r="E51" i="183"/>
  <c r="O50" i="183"/>
  <c r="N50" i="183"/>
  <c r="L50" i="183"/>
  <c r="K50" i="183"/>
  <c r="H50" i="183"/>
  <c r="F50" i="183"/>
  <c r="P50" i="183" s="1"/>
  <c r="E50" i="183"/>
  <c r="O49" i="183"/>
  <c r="N49" i="183"/>
  <c r="L49" i="183"/>
  <c r="K49" i="183"/>
  <c r="H49" i="183"/>
  <c r="F49" i="183"/>
  <c r="P49" i="183" s="1"/>
  <c r="E49" i="183"/>
  <c r="O48" i="183"/>
  <c r="N48" i="183"/>
  <c r="L48" i="183"/>
  <c r="K48" i="183"/>
  <c r="H48" i="183"/>
  <c r="F48" i="183"/>
  <c r="P48" i="183" s="1"/>
  <c r="E48" i="183"/>
  <c r="O47" i="183"/>
  <c r="N47" i="183"/>
  <c r="L47" i="183"/>
  <c r="K47" i="183"/>
  <c r="H47" i="183"/>
  <c r="F47" i="183"/>
  <c r="P47" i="183" s="1"/>
  <c r="E47" i="183"/>
  <c r="O46" i="183"/>
  <c r="N46" i="183"/>
  <c r="K46" i="183"/>
  <c r="H46" i="183"/>
  <c r="F46" i="183"/>
  <c r="P46" i="183" s="1"/>
  <c r="E46" i="183"/>
  <c r="O45" i="183"/>
  <c r="N45" i="183"/>
  <c r="L45" i="183"/>
  <c r="K45" i="183"/>
  <c r="H45" i="183"/>
  <c r="F45" i="183"/>
  <c r="P45" i="183" s="1"/>
  <c r="E45" i="183"/>
  <c r="O44" i="183"/>
  <c r="N44" i="183"/>
  <c r="L44" i="183"/>
  <c r="K44" i="183"/>
  <c r="H44" i="183"/>
  <c r="F44" i="183"/>
  <c r="P44" i="183" s="1"/>
  <c r="E44" i="183"/>
  <c r="O43" i="183"/>
  <c r="N43" i="183"/>
  <c r="L43" i="183"/>
  <c r="K43" i="183"/>
  <c r="H43" i="183"/>
  <c r="F43" i="183"/>
  <c r="P43" i="183" s="1"/>
  <c r="E43" i="183"/>
  <c r="O42" i="183"/>
  <c r="N42" i="183"/>
  <c r="L42" i="183"/>
  <c r="K42" i="183"/>
  <c r="H42" i="183"/>
  <c r="F42" i="183"/>
  <c r="P42" i="183" s="1"/>
  <c r="E42" i="183"/>
  <c r="O41" i="183"/>
  <c r="N41" i="183"/>
  <c r="L41" i="183"/>
  <c r="K41" i="183"/>
  <c r="H41" i="183"/>
  <c r="F41" i="183"/>
  <c r="P41" i="183" s="1"/>
  <c r="E41" i="183"/>
  <c r="O40" i="183"/>
  <c r="N40" i="183"/>
  <c r="L40" i="183"/>
  <c r="K40" i="183"/>
  <c r="H40" i="183"/>
  <c r="F40" i="183"/>
  <c r="P40" i="183" s="1"/>
  <c r="E40" i="183"/>
  <c r="O39" i="183"/>
  <c r="N39" i="183"/>
  <c r="L39" i="183"/>
  <c r="K39" i="183"/>
  <c r="H39" i="183"/>
  <c r="F39" i="183"/>
  <c r="P39" i="183" s="1"/>
  <c r="E39" i="183"/>
  <c r="O38" i="183"/>
  <c r="N38" i="183"/>
  <c r="L38" i="183"/>
  <c r="K38" i="183"/>
  <c r="H38" i="183"/>
  <c r="F38" i="183"/>
  <c r="P38" i="183" s="1"/>
  <c r="E38" i="183"/>
  <c r="O37" i="183"/>
  <c r="N37" i="183"/>
  <c r="L37" i="183"/>
  <c r="K37" i="183"/>
  <c r="H37" i="183"/>
  <c r="F37" i="183"/>
  <c r="P37" i="183" s="1"/>
  <c r="E37" i="183"/>
  <c r="O36" i="183"/>
  <c r="N36" i="183"/>
  <c r="L36" i="183"/>
  <c r="K36" i="183"/>
  <c r="H36" i="183"/>
  <c r="F36" i="183"/>
  <c r="P36" i="183" s="1"/>
  <c r="E36" i="183"/>
  <c r="O34" i="183"/>
  <c r="N34" i="183"/>
  <c r="K34" i="183"/>
  <c r="H34" i="183"/>
  <c r="F34" i="183"/>
  <c r="P34" i="183" s="1"/>
  <c r="E34" i="183"/>
  <c r="O33" i="183"/>
  <c r="N33" i="183"/>
  <c r="K33" i="183"/>
  <c r="H33" i="183"/>
  <c r="F33" i="183"/>
  <c r="P33" i="183" s="1"/>
  <c r="E33" i="183"/>
  <c r="O32" i="183"/>
  <c r="N32" i="183"/>
  <c r="K32" i="183"/>
  <c r="H32" i="183"/>
  <c r="F32" i="183"/>
  <c r="P32" i="183" s="1"/>
  <c r="E32" i="183"/>
  <c r="O31" i="183"/>
  <c r="N31" i="183"/>
  <c r="K31" i="183"/>
  <c r="H31" i="183"/>
  <c r="F31" i="183"/>
  <c r="P31" i="183" s="1"/>
  <c r="E31" i="183"/>
  <c r="O30" i="183"/>
  <c r="N30" i="183"/>
  <c r="K30" i="183"/>
  <c r="H30" i="183"/>
  <c r="F30" i="183"/>
  <c r="P30" i="183" s="1"/>
  <c r="E30" i="183"/>
  <c r="P28" i="183"/>
  <c r="J28" i="183"/>
  <c r="D28" i="183"/>
  <c r="L28" i="183" s="1"/>
  <c r="M28" i="183" s="1"/>
  <c r="C28" i="183"/>
  <c r="H28" i="183" s="1"/>
  <c r="I28" i="183" s="1"/>
  <c r="O28" i="183" s="1"/>
  <c r="A28" i="183"/>
  <c r="P27" i="183"/>
  <c r="J27" i="183"/>
  <c r="D27" i="183"/>
  <c r="L27" i="183" s="1"/>
  <c r="M27" i="183" s="1"/>
  <c r="C27" i="183"/>
  <c r="H27" i="183" s="1"/>
  <c r="I27" i="183" s="1"/>
  <c r="O27" i="183" s="1"/>
  <c r="A27" i="183"/>
  <c r="P26" i="183"/>
  <c r="J26" i="183"/>
  <c r="E26" i="183" a="1"/>
  <c r="E26" i="183" s="1"/>
  <c r="D26" i="183"/>
  <c r="L26" i="183" s="1"/>
  <c r="M26" i="183" s="1"/>
  <c r="C26" i="183"/>
  <c r="H26" i="183" s="1"/>
  <c r="I26" i="183" s="1"/>
  <c r="O26" i="183" s="1"/>
  <c r="P25" i="183"/>
  <c r="J25" i="183"/>
  <c r="E25" i="183" a="1"/>
  <c r="E25" i="183" s="1"/>
  <c r="D25" i="183"/>
  <c r="L25" i="183" s="1"/>
  <c r="M25" i="183" s="1"/>
  <c r="C25" i="183"/>
  <c r="F25" i="183" s="1"/>
  <c r="P24" i="183"/>
  <c r="J24" i="183"/>
  <c r="E24" i="183" a="1"/>
  <c r="E24" i="183" s="1"/>
  <c r="D24" i="183"/>
  <c r="L24" i="183" s="1"/>
  <c r="M24" i="183" s="1"/>
  <c r="C24" i="183"/>
  <c r="H24" i="183" s="1"/>
  <c r="I24" i="183" s="1"/>
  <c r="O24" i="183" s="1"/>
  <c r="P23" i="183"/>
  <c r="J23" i="183"/>
  <c r="E23" i="183" a="1"/>
  <c r="E23" i="183" s="1"/>
  <c r="D23" i="183"/>
  <c r="L23" i="183" s="1"/>
  <c r="M23" i="183" s="1"/>
  <c r="C23" i="183"/>
  <c r="H23" i="183" s="1"/>
  <c r="I23" i="183" s="1"/>
  <c r="O23" i="183" s="1"/>
  <c r="P22" i="183"/>
  <c r="J22" i="183"/>
  <c r="E22" i="183" a="1"/>
  <c r="E22" i="183" s="1"/>
  <c r="D22" i="183"/>
  <c r="L22" i="183" s="1"/>
  <c r="M22" i="183" s="1"/>
  <c r="C22" i="183"/>
  <c r="H22" i="183" s="1"/>
  <c r="I22" i="183" s="1"/>
  <c r="O22" i="183" s="1"/>
  <c r="P21" i="183"/>
  <c r="J21" i="183"/>
  <c r="E21" i="183" a="1"/>
  <c r="E21" i="183" s="1"/>
  <c r="D21" i="183"/>
  <c r="L21" i="183" s="1"/>
  <c r="M21" i="183" s="1"/>
  <c r="C21" i="183"/>
  <c r="H21" i="183" s="1"/>
  <c r="I21" i="183" s="1"/>
  <c r="O21" i="183" s="1"/>
  <c r="J20" i="183"/>
  <c r="D20" i="183"/>
  <c r="L20" i="183" s="1"/>
  <c r="M20" i="183" s="1"/>
  <c r="C20" i="183"/>
  <c r="H20" i="183" s="1"/>
  <c r="I20" i="183" s="1"/>
  <c r="O20" i="183" s="1"/>
  <c r="J19" i="183"/>
  <c r="D19" i="183"/>
  <c r="L19" i="183" s="1"/>
  <c r="M19" i="183" s="1"/>
  <c r="C19" i="183"/>
  <c r="H19" i="183" s="1"/>
  <c r="S9" i="183" s="1"/>
  <c r="N17" i="183"/>
  <c r="E17" i="183"/>
  <c r="P17" i="183" s="1"/>
  <c r="P16" i="183"/>
  <c r="N16" i="183"/>
  <c r="E16" i="183"/>
  <c r="N15" i="183"/>
  <c r="J15" i="183"/>
  <c r="J16" i="183" s="1"/>
  <c r="E15" i="183"/>
  <c r="P15" i="183" s="1"/>
  <c r="J14" i="183"/>
  <c r="U6" i="183" s="1"/>
  <c r="P13" i="183"/>
  <c r="O13" i="183"/>
  <c r="P11" i="183"/>
  <c r="J11" i="183"/>
  <c r="J10" i="183"/>
  <c r="E10" i="183"/>
  <c r="O9" i="183"/>
  <c r="E9" i="183"/>
  <c r="P9" i="183" s="1"/>
  <c r="J8" i="183"/>
  <c r="J9" i="183" s="1"/>
  <c r="S10" i="183" s="1"/>
  <c r="L7" i="183"/>
  <c r="F7" i="183"/>
  <c r="P5" i="183"/>
  <c r="P19" i="183" s="1"/>
  <c r="N5" i="183"/>
  <c r="M5" i="183"/>
  <c r="K5" i="183"/>
  <c r="J5" i="183"/>
  <c r="J13" i="183" s="1"/>
  <c r="N4" i="183"/>
  <c r="M4" i="183"/>
  <c r="J4" i="183"/>
  <c r="F4" i="183"/>
  <c r="E4" i="183"/>
  <c r="E19" i="183" s="1" a="1"/>
  <c r="E19" i="183" s="1"/>
  <c r="P90" i="181"/>
  <c r="O90" i="181"/>
  <c r="K90" i="181"/>
  <c r="I90" i="181"/>
  <c r="G90" i="181"/>
  <c r="P89" i="181"/>
  <c r="O89" i="181"/>
  <c r="K89" i="181"/>
  <c r="I89" i="181"/>
  <c r="G89" i="181"/>
  <c r="P88" i="181"/>
  <c r="O88" i="181"/>
  <c r="K88" i="181"/>
  <c r="I88" i="181"/>
  <c r="G88" i="181"/>
  <c r="P87" i="181"/>
  <c r="O87" i="181"/>
  <c r="K87" i="181"/>
  <c r="I87" i="181"/>
  <c r="G87" i="181"/>
  <c r="P86" i="181"/>
  <c r="O86" i="181"/>
  <c r="K86" i="181"/>
  <c r="I86" i="181"/>
  <c r="G86" i="181"/>
  <c r="P85" i="181"/>
  <c r="O85" i="181"/>
  <c r="K85" i="181"/>
  <c r="I85" i="181"/>
  <c r="G85" i="181"/>
  <c r="P84" i="181"/>
  <c r="O84" i="181"/>
  <c r="K84" i="181"/>
  <c r="I84" i="181"/>
  <c r="G84" i="181"/>
  <c r="P83" i="181"/>
  <c r="O83" i="181"/>
  <c r="K83" i="181"/>
  <c r="I83" i="181"/>
  <c r="G83" i="181"/>
  <c r="P82" i="181"/>
  <c r="O82" i="181"/>
  <c r="K82" i="181"/>
  <c r="I82" i="181"/>
  <c r="G82" i="181"/>
  <c r="P81" i="181"/>
  <c r="O81" i="181"/>
  <c r="K81" i="181"/>
  <c r="I81" i="181"/>
  <c r="G81" i="181"/>
  <c r="P80" i="181"/>
  <c r="O80" i="181"/>
  <c r="K80" i="181"/>
  <c r="I80" i="181"/>
  <c r="G80" i="181"/>
  <c r="P79" i="181"/>
  <c r="O79" i="181"/>
  <c r="K79" i="181"/>
  <c r="I79" i="181"/>
  <c r="G79" i="181"/>
  <c r="P78" i="181"/>
  <c r="O78" i="181"/>
  <c r="K78" i="181"/>
  <c r="I78" i="181"/>
  <c r="G78" i="181"/>
  <c r="P77" i="181"/>
  <c r="O77" i="181"/>
  <c r="K77" i="181"/>
  <c r="I77" i="181"/>
  <c r="G77" i="181"/>
  <c r="P76" i="181"/>
  <c r="O76" i="181"/>
  <c r="K76" i="181"/>
  <c r="I76" i="181"/>
  <c r="G76" i="181"/>
  <c r="P75" i="181"/>
  <c r="O75" i="181"/>
  <c r="K75" i="181"/>
  <c r="I75" i="181"/>
  <c r="G75" i="181"/>
  <c r="P74" i="181"/>
  <c r="O74" i="181"/>
  <c r="K74" i="181"/>
  <c r="I74" i="181"/>
  <c r="G74" i="181"/>
  <c r="P73" i="181"/>
  <c r="K73" i="181"/>
  <c r="I73" i="181"/>
  <c r="G73" i="181"/>
  <c r="P71" i="181"/>
  <c r="O71" i="181"/>
  <c r="K71" i="181"/>
  <c r="G71" i="181"/>
  <c r="P70" i="181"/>
  <c r="O70" i="181"/>
  <c r="N70" i="181"/>
  <c r="K70" i="181"/>
  <c r="G70" i="181"/>
  <c r="P69" i="181"/>
  <c r="O69" i="181"/>
  <c r="N69" i="181"/>
  <c r="K69" i="181"/>
  <c r="G69" i="181"/>
  <c r="N67" i="181"/>
  <c r="F66" i="181" a="1"/>
  <c r="F66" i="181" s="1"/>
  <c r="P65" i="181"/>
  <c r="K65" i="181"/>
  <c r="E65" i="181"/>
  <c r="O64" i="181"/>
  <c r="M64" i="181"/>
  <c r="L64" i="181"/>
  <c r="K64" i="181"/>
  <c r="J64" i="181"/>
  <c r="H64" i="181"/>
  <c r="H66" i="181" s="1"/>
  <c r="S12" i="181" s="1"/>
  <c r="E57" i="181"/>
  <c r="P57" i="181" s="1"/>
  <c r="O56" i="181"/>
  <c r="N56" i="181"/>
  <c r="L56" i="181"/>
  <c r="K56" i="181"/>
  <c r="H56" i="181"/>
  <c r="F56" i="181"/>
  <c r="P56" i="181" s="1"/>
  <c r="E56" i="181"/>
  <c r="O55" i="181"/>
  <c r="N55" i="181"/>
  <c r="L55" i="181"/>
  <c r="K55" i="181"/>
  <c r="H55" i="181"/>
  <c r="F55" i="181"/>
  <c r="P55" i="181" s="1"/>
  <c r="E55" i="181"/>
  <c r="O54" i="181"/>
  <c r="N54" i="181"/>
  <c r="L54" i="181"/>
  <c r="K54" i="181"/>
  <c r="H54" i="181"/>
  <c r="F54" i="181"/>
  <c r="P54" i="181" s="1"/>
  <c r="E54" i="181"/>
  <c r="O53" i="181"/>
  <c r="N53" i="181"/>
  <c r="L53" i="181"/>
  <c r="K53" i="181"/>
  <c r="H53" i="181"/>
  <c r="F53" i="181"/>
  <c r="P53" i="181" s="1"/>
  <c r="E53" i="181"/>
  <c r="O52" i="181"/>
  <c r="N52" i="181"/>
  <c r="L52" i="181"/>
  <c r="K52" i="181"/>
  <c r="H52" i="181"/>
  <c r="F52" i="181"/>
  <c r="P52" i="181" s="1"/>
  <c r="E52" i="181"/>
  <c r="O51" i="181"/>
  <c r="N51" i="181"/>
  <c r="L51" i="181"/>
  <c r="K51" i="181"/>
  <c r="H51" i="181"/>
  <c r="F51" i="181"/>
  <c r="P51" i="181" s="1"/>
  <c r="E51" i="181"/>
  <c r="O50" i="181"/>
  <c r="N50" i="181"/>
  <c r="L50" i="181"/>
  <c r="K50" i="181"/>
  <c r="H50" i="181"/>
  <c r="F50" i="181"/>
  <c r="P50" i="181" s="1"/>
  <c r="E50" i="181"/>
  <c r="O49" i="181"/>
  <c r="N49" i="181"/>
  <c r="L49" i="181"/>
  <c r="K49" i="181"/>
  <c r="H49" i="181"/>
  <c r="F49" i="181"/>
  <c r="P49" i="181" s="1"/>
  <c r="E49" i="181"/>
  <c r="O48" i="181"/>
  <c r="N48" i="181"/>
  <c r="L48" i="181"/>
  <c r="K48" i="181"/>
  <c r="H48" i="181"/>
  <c r="F48" i="181"/>
  <c r="P48" i="181" s="1"/>
  <c r="E48" i="181"/>
  <c r="O47" i="181"/>
  <c r="N47" i="181"/>
  <c r="L47" i="181"/>
  <c r="K47" i="181"/>
  <c r="H47" i="181"/>
  <c r="F47" i="181"/>
  <c r="P47" i="181" s="1"/>
  <c r="E47" i="181"/>
  <c r="O46" i="181"/>
  <c r="N46" i="181"/>
  <c r="L46" i="181"/>
  <c r="K46" i="181"/>
  <c r="H46" i="181"/>
  <c r="F46" i="181"/>
  <c r="P46" i="181" s="1"/>
  <c r="E46" i="181"/>
  <c r="O45" i="181"/>
  <c r="N45" i="181"/>
  <c r="L45" i="181"/>
  <c r="K45" i="181"/>
  <c r="H45" i="181"/>
  <c r="F45" i="181"/>
  <c r="P45" i="181" s="1"/>
  <c r="E45" i="181"/>
  <c r="O44" i="181"/>
  <c r="N44" i="181"/>
  <c r="L44" i="181"/>
  <c r="K44" i="181"/>
  <c r="H44" i="181"/>
  <c r="F44" i="181"/>
  <c r="P44" i="181" s="1"/>
  <c r="E44" i="181"/>
  <c r="O43" i="181"/>
  <c r="N43" i="181"/>
  <c r="L43" i="181"/>
  <c r="K43" i="181"/>
  <c r="H43" i="181"/>
  <c r="F43" i="181"/>
  <c r="P43" i="181" s="1"/>
  <c r="E43" i="181"/>
  <c r="O42" i="181"/>
  <c r="N42" i="181"/>
  <c r="L42" i="181"/>
  <c r="K42" i="181"/>
  <c r="H42" i="181"/>
  <c r="F42" i="181"/>
  <c r="P42" i="181" s="1"/>
  <c r="E42" i="181"/>
  <c r="O41" i="181"/>
  <c r="N41" i="181"/>
  <c r="L41" i="181"/>
  <c r="K41" i="181"/>
  <c r="H41" i="181"/>
  <c r="F41" i="181"/>
  <c r="P41" i="181" s="1"/>
  <c r="E41" i="181"/>
  <c r="O40" i="181"/>
  <c r="N40" i="181"/>
  <c r="L40" i="181"/>
  <c r="K40" i="181"/>
  <c r="H40" i="181"/>
  <c r="F40" i="181"/>
  <c r="P40" i="181" s="1"/>
  <c r="E40" i="181"/>
  <c r="O39" i="181"/>
  <c r="N39" i="181"/>
  <c r="L39" i="181"/>
  <c r="K39" i="181"/>
  <c r="H39" i="181"/>
  <c r="F39" i="181"/>
  <c r="P39" i="181" s="1"/>
  <c r="E39" i="181"/>
  <c r="O38" i="181"/>
  <c r="N38" i="181"/>
  <c r="L38" i="181"/>
  <c r="K38" i="181"/>
  <c r="H38" i="181"/>
  <c r="F38" i="181"/>
  <c r="P38" i="181" s="1"/>
  <c r="E38" i="181"/>
  <c r="O37" i="181"/>
  <c r="N37" i="181"/>
  <c r="L37" i="181"/>
  <c r="K37" i="181"/>
  <c r="H37" i="181"/>
  <c r="F37" i="181"/>
  <c r="P37" i="181" s="1"/>
  <c r="E37" i="181"/>
  <c r="O36" i="181"/>
  <c r="N36" i="181"/>
  <c r="L36" i="181"/>
  <c r="K36" i="181"/>
  <c r="H36" i="181"/>
  <c r="F36" i="181"/>
  <c r="P36" i="181" s="1"/>
  <c r="E36" i="181"/>
  <c r="O34" i="181"/>
  <c r="N34" i="181"/>
  <c r="K34" i="181"/>
  <c r="H34" i="181"/>
  <c r="F34" i="181"/>
  <c r="P34" i="181" s="1"/>
  <c r="E34" i="181"/>
  <c r="O33" i="181"/>
  <c r="N33" i="181"/>
  <c r="K33" i="181"/>
  <c r="H33" i="181"/>
  <c r="F33" i="181"/>
  <c r="P33" i="181" s="1"/>
  <c r="E33" i="181"/>
  <c r="O32" i="181"/>
  <c r="N32" i="181"/>
  <c r="K32" i="181"/>
  <c r="H32" i="181"/>
  <c r="F32" i="181"/>
  <c r="P32" i="181" s="1"/>
  <c r="E32" i="181"/>
  <c r="O31" i="181"/>
  <c r="N31" i="181"/>
  <c r="K31" i="181"/>
  <c r="H31" i="181"/>
  <c r="F31" i="181"/>
  <c r="P31" i="181" s="1"/>
  <c r="E31" i="181"/>
  <c r="O30" i="181"/>
  <c r="N30" i="181"/>
  <c r="K30" i="181"/>
  <c r="H30" i="181"/>
  <c r="F30" i="181"/>
  <c r="P30" i="181" s="1"/>
  <c r="E30" i="181"/>
  <c r="P28" i="181"/>
  <c r="J28" i="181"/>
  <c r="D28" i="181"/>
  <c r="L28" i="181" s="1"/>
  <c r="M28" i="181" s="1"/>
  <c r="C28" i="181"/>
  <c r="H28" i="181" s="1"/>
  <c r="I28" i="181" s="1"/>
  <c r="O28" i="181" s="1"/>
  <c r="A28" i="181"/>
  <c r="P27" i="181"/>
  <c r="J27" i="181"/>
  <c r="D27" i="181"/>
  <c r="L27" i="181" s="1"/>
  <c r="M27" i="181" s="1"/>
  <c r="C27" i="181"/>
  <c r="H27" i="181" s="1"/>
  <c r="I27" i="181" s="1"/>
  <c r="O27" i="181" s="1"/>
  <c r="A27" i="181"/>
  <c r="P26" i="181"/>
  <c r="J26" i="181"/>
  <c r="E26" i="181" a="1"/>
  <c r="E26" i="181" s="1"/>
  <c r="D26" i="181"/>
  <c r="L26" i="181" s="1"/>
  <c r="M26" i="181" s="1"/>
  <c r="C26" i="181"/>
  <c r="H26" i="181" s="1"/>
  <c r="I26" i="181" s="1"/>
  <c r="O26" i="181" s="1"/>
  <c r="P25" i="181"/>
  <c r="J25" i="181"/>
  <c r="E25" i="181" a="1"/>
  <c r="E25" i="181" s="1"/>
  <c r="D25" i="181"/>
  <c r="L25" i="181" s="1"/>
  <c r="M25" i="181" s="1"/>
  <c r="C25" i="181"/>
  <c r="H25" i="181" s="1"/>
  <c r="I25" i="181" s="1"/>
  <c r="O25" i="181" s="1"/>
  <c r="P24" i="181"/>
  <c r="J24" i="181"/>
  <c r="E24" i="181" a="1"/>
  <c r="E24" i="181" s="1"/>
  <c r="D24" i="181"/>
  <c r="L24" i="181" s="1"/>
  <c r="M24" i="181" s="1"/>
  <c r="C24" i="181"/>
  <c r="H24" i="181" s="1"/>
  <c r="I24" i="181" s="1"/>
  <c r="O24" i="181" s="1"/>
  <c r="P23" i="181"/>
  <c r="J23" i="181"/>
  <c r="E23" i="181" a="1"/>
  <c r="E23" i="181" s="1"/>
  <c r="D23" i="181"/>
  <c r="L23" i="181" s="1"/>
  <c r="M23" i="181" s="1"/>
  <c r="C23" i="181"/>
  <c r="H23" i="181" s="1"/>
  <c r="I23" i="181" s="1"/>
  <c r="O23" i="181" s="1"/>
  <c r="P22" i="181"/>
  <c r="J22" i="181"/>
  <c r="E22" i="181" a="1"/>
  <c r="E22" i="181" s="1"/>
  <c r="D22" i="181"/>
  <c r="L22" i="181" s="1"/>
  <c r="M22" i="181" s="1"/>
  <c r="C22" i="181"/>
  <c r="H22" i="181" s="1"/>
  <c r="I22" i="181" s="1"/>
  <c r="O22" i="181" s="1"/>
  <c r="P21" i="181"/>
  <c r="J21" i="181"/>
  <c r="D21" i="181"/>
  <c r="L21" i="181" s="1"/>
  <c r="M21" i="181" s="1"/>
  <c r="C21" i="181"/>
  <c r="F21" i="181" s="1"/>
  <c r="J20" i="181"/>
  <c r="D20" i="181"/>
  <c r="L20" i="181" s="1"/>
  <c r="M20" i="181" s="1"/>
  <c r="C20" i="181"/>
  <c r="H20" i="181" s="1"/>
  <c r="I20" i="181" s="1"/>
  <c r="O20" i="181" s="1"/>
  <c r="J19" i="181"/>
  <c r="D19" i="181"/>
  <c r="L19" i="181" s="1"/>
  <c r="M19" i="181" s="1"/>
  <c r="C19" i="181"/>
  <c r="F19" i="181" s="1"/>
  <c r="N17" i="181"/>
  <c r="E17" i="181"/>
  <c r="P17" i="181" s="1"/>
  <c r="P16" i="181"/>
  <c r="N16" i="181"/>
  <c r="E16" i="181"/>
  <c r="N15" i="181"/>
  <c r="J15" i="181"/>
  <c r="J16" i="181" s="1"/>
  <c r="E15" i="181"/>
  <c r="P15" i="181" s="1"/>
  <c r="J14" i="181"/>
  <c r="U6" i="181" s="1"/>
  <c r="P13" i="181"/>
  <c r="O13" i="181"/>
  <c r="P11" i="181"/>
  <c r="J11" i="181"/>
  <c r="J10" i="181"/>
  <c r="E10" i="181"/>
  <c r="O9" i="181"/>
  <c r="J8" i="181"/>
  <c r="J9" i="181" s="1"/>
  <c r="L7" i="181"/>
  <c r="F7" i="181"/>
  <c r="P5" i="181"/>
  <c r="P8" i="181" s="1"/>
  <c r="N5" i="181"/>
  <c r="M5" i="181"/>
  <c r="K5" i="181"/>
  <c r="J5" i="181"/>
  <c r="J13" i="181" s="1"/>
  <c r="N4" i="181"/>
  <c r="M4" i="181"/>
  <c r="J4" i="181"/>
  <c r="F4" i="181"/>
  <c r="E4" i="181"/>
  <c r="E21" i="181" s="1" a="1"/>
  <c r="E21" i="181" s="1"/>
  <c r="P90" i="179"/>
  <c r="O90" i="179"/>
  <c r="K90" i="179"/>
  <c r="I90" i="179"/>
  <c r="G90" i="179"/>
  <c r="P89" i="179"/>
  <c r="O89" i="179"/>
  <c r="K89" i="179"/>
  <c r="I89" i="179"/>
  <c r="G89" i="179"/>
  <c r="P88" i="179"/>
  <c r="O88" i="179"/>
  <c r="K88" i="179"/>
  <c r="I88" i="179"/>
  <c r="G88" i="179"/>
  <c r="P87" i="179"/>
  <c r="O87" i="179"/>
  <c r="K87" i="179"/>
  <c r="I87" i="179"/>
  <c r="G87" i="179"/>
  <c r="P86" i="179"/>
  <c r="O86" i="179"/>
  <c r="K86" i="179"/>
  <c r="I86" i="179"/>
  <c r="G86" i="179"/>
  <c r="P85" i="179"/>
  <c r="O85" i="179"/>
  <c r="K85" i="179"/>
  <c r="I85" i="179"/>
  <c r="G85" i="179"/>
  <c r="P84" i="179"/>
  <c r="O84" i="179"/>
  <c r="K84" i="179"/>
  <c r="I84" i="179"/>
  <c r="G84" i="179"/>
  <c r="P83" i="179"/>
  <c r="O83" i="179"/>
  <c r="K83" i="179"/>
  <c r="I83" i="179"/>
  <c r="G83" i="179"/>
  <c r="P82" i="179"/>
  <c r="O82" i="179"/>
  <c r="K82" i="179"/>
  <c r="I82" i="179"/>
  <c r="G82" i="179"/>
  <c r="P81" i="179"/>
  <c r="O81" i="179"/>
  <c r="K81" i="179"/>
  <c r="I81" i="179"/>
  <c r="G81" i="179"/>
  <c r="P80" i="179"/>
  <c r="O80" i="179"/>
  <c r="K80" i="179"/>
  <c r="I80" i="179"/>
  <c r="G80" i="179"/>
  <c r="P79" i="179"/>
  <c r="O79" i="179"/>
  <c r="K79" i="179"/>
  <c r="I79" i="179"/>
  <c r="G79" i="179"/>
  <c r="P78" i="179"/>
  <c r="O78" i="179"/>
  <c r="K78" i="179"/>
  <c r="I78" i="179"/>
  <c r="G78" i="179"/>
  <c r="P77" i="179"/>
  <c r="O77" i="179"/>
  <c r="K77" i="179"/>
  <c r="I77" i="179"/>
  <c r="G77" i="179"/>
  <c r="P76" i="179"/>
  <c r="O76" i="179"/>
  <c r="K76" i="179"/>
  <c r="I76" i="179"/>
  <c r="G76" i="179"/>
  <c r="P75" i="179"/>
  <c r="O75" i="179"/>
  <c r="K75" i="179"/>
  <c r="I75" i="179"/>
  <c r="G75" i="179"/>
  <c r="P74" i="179"/>
  <c r="O74" i="179"/>
  <c r="K74" i="179"/>
  <c r="I74" i="179"/>
  <c r="G74" i="179"/>
  <c r="P73" i="179"/>
  <c r="K73" i="179"/>
  <c r="I73" i="179"/>
  <c r="G73" i="179"/>
  <c r="P71" i="179"/>
  <c r="O71" i="179"/>
  <c r="K71" i="179"/>
  <c r="G71" i="179"/>
  <c r="P70" i="179"/>
  <c r="O70" i="179"/>
  <c r="N70" i="179"/>
  <c r="K70" i="179"/>
  <c r="G70" i="179"/>
  <c r="P69" i="179"/>
  <c r="O69" i="179"/>
  <c r="N69" i="179"/>
  <c r="K69" i="179"/>
  <c r="G69" i="179"/>
  <c r="N67" i="179"/>
  <c r="F66" i="179" a="1"/>
  <c r="F66" i="179" s="1"/>
  <c r="P65" i="179"/>
  <c r="K65" i="179"/>
  <c r="E65" i="179"/>
  <c r="O64" i="179"/>
  <c r="M64" i="179"/>
  <c r="L64" i="179"/>
  <c r="K64" i="179"/>
  <c r="J64" i="179"/>
  <c r="H64" i="179"/>
  <c r="E57" i="179"/>
  <c r="P57" i="179" s="1"/>
  <c r="O56" i="179"/>
  <c r="N56" i="179"/>
  <c r="L56" i="179"/>
  <c r="K56" i="179"/>
  <c r="H56" i="179"/>
  <c r="F56" i="179"/>
  <c r="P56" i="179" s="1"/>
  <c r="E56" i="179"/>
  <c r="O55" i="179"/>
  <c r="N55" i="179"/>
  <c r="L55" i="179"/>
  <c r="K55" i="179"/>
  <c r="H55" i="179"/>
  <c r="F55" i="179"/>
  <c r="P55" i="179" s="1"/>
  <c r="E55" i="179"/>
  <c r="O54" i="179"/>
  <c r="N54" i="179"/>
  <c r="L54" i="179"/>
  <c r="K54" i="179"/>
  <c r="H54" i="179"/>
  <c r="F54" i="179"/>
  <c r="P54" i="179" s="1"/>
  <c r="E54" i="179"/>
  <c r="O53" i="179"/>
  <c r="N53" i="179"/>
  <c r="L53" i="179"/>
  <c r="K53" i="179"/>
  <c r="H53" i="179"/>
  <c r="F53" i="179"/>
  <c r="P53" i="179" s="1"/>
  <c r="E53" i="179"/>
  <c r="O52" i="179"/>
  <c r="N52" i="179"/>
  <c r="L52" i="179"/>
  <c r="K52" i="179"/>
  <c r="H52" i="179"/>
  <c r="F52" i="179"/>
  <c r="P52" i="179" s="1"/>
  <c r="E52" i="179"/>
  <c r="O51" i="179"/>
  <c r="N51" i="179"/>
  <c r="L51" i="179"/>
  <c r="K51" i="179"/>
  <c r="H51" i="179"/>
  <c r="F51" i="179"/>
  <c r="P51" i="179" s="1"/>
  <c r="E51" i="179"/>
  <c r="O50" i="179"/>
  <c r="N50" i="179"/>
  <c r="L50" i="179"/>
  <c r="K50" i="179"/>
  <c r="H50" i="179"/>
  <c r="F50" i="179"/>
  <c r="P50" i="179" s="1"/>
  <c r="E50" i="179"/>
  <c r="O49" i="179"/>
  <c r="N49" i="179"/>
  <c r="L49" i="179"/>
  <c r="K49" i="179"/>
  <c r="H49" i="179"/>
  <c r="F49" i="179"/>
  <c r="P49" i="179" s="1"/>
  <c r="E49" i="179"/>
  <c r="O48" i="179"/>
  <c r="N48" i="179"/>
  <c r="L48" i="179"/>
  <c r="K48" i="179"/>
  <c r="H48" i="179"/>
  <c r="F48" i="179"/>
  <c r="P48" i="179" s="1"/>
  <c r="E48" i="179"/>
  <c r="O47" i="179"/>
  <c r="N47" i="179"/>
  <c r="L47" i="179"/>
  <c r="K47" i="179"/>
  <c r="H47" i="179"/>
  <c r="F47" i="179"/>
  <c r="P47" i="179" s="1"/>
  <c r="E47" i="179"/>
  <c r="O46" i="179"/>
  <c r="N46" i="179"/>
  <c r="L46" i="179"/>
  <c r="K46" i="179"/>
  <c r="H46" i="179"/>
  <c r="F46" i="179"/>
  <c r="P46" i="179" s="1"/>
  <c r="E46" i="179"/>
  <c r="O45" i="179"/>
  <c r="N45" i="179"/>
  <c r="L45" i="179"/>
  <c r="K45" i="179"/>
  <c r="H45" i="179"/>
  <c r="F45" i="179"/>
  <c r="P45" i="179" s="1"/>
  <c r="E45" i="179"/>
  <c r="O44" i="179"/>
  <c r="N44" i="179"/>
  <c r="L44" i="179"/>
  <c r="K44" i="179"/>
  <c r="H44" i="179"/>
  <c r="F44" i="179"/>
  <c r="P44" i="179" s="1"/>
  <c r="E44" i="179"/>
  <c r="O43" i="179"/>
  <c r="N43" i="179"/>
  <c r="L43" i="179"/>
  <c r="K43" i="179"/>
  <c r="H43" i="179"/>
  <c r="F43" i="179"/>
  <c r="P43" i="179" s="1"/>
  <c r="E43" i="179"/>
  <c r="O42" i="179"/>
  <c r="N42" i="179"/>
  <c r="L42" i="179"/>
  <c r="K42" i="179"/>
  <c r="H42" i="179"/>
  <c r="F42" i="179"/>
  <c r="P42" i="179" s="1"/>
  <c r="E42" i="179"/>
  <c r="O41" i="179"/>
  <c r="N41" i="179"/>
  <c r="L41" i="179"/>
  <c r="K41" i="179"/>
  <c r="H41" i="179"/>
  <c r="F41" i="179"/>
  <c r="P41" i="179" s="1"/>
  <c r="E41" i="179"/>
  <c r="O40" i="179"/>
  <c r="N40" i="179"/>
  <c r="L40" i="179"/>
  <c r="K40" i="179"/>
  <c r="H40" i="179"/>
  <c r="F40" i="179"/>
  <c r="P40" i="179" s="1"/>
  <c r="E40" i="179"/>
  <c r="O39" i="179"/>
  <c r="N39" i="179"/>
  <c r="L39" i="179"/>
  <c r="K39" i="179"/>
  <c r="H39" i="179"/>
  <c r="F39" i="179"/>
  <c r="P39" i="179" s="1"/>
  <c r="E39" i="179"/>
  <c r="O38" i="179"/>
  <c r="N38" i="179"/>
  <c r="L38" i="179"/>
  <c r="K38" i="179"/>
  <c r="H38" i="179"/>
  <c r="F38" i="179"/>
  <c r="P38" i="179" s="1"/>
  <c r="E38" i="179"/>
  <c r="O37" i="179"/>
  <c r="N37" i="179"/>
  <c r="L37" i="179"/>
  <c r="K37" i="179"/>
  <c r="H37" i="179"/>
  <c r="F37" i="179"/>
  <c r="P37" i="179" s="1"/>
  <c r="E37" i="179"/>
  <c r="O36" i="179"/>
  <c r="N36" i="179"/>
  <c r="L36" i="179"/>
  <c r="K36" i="179"/>
  <c r="H36" i="179"/>
  <c r="F36" i="179"/>
  <c r="P36" i="179" s="1"/>
  <c r="E36" i="179"/>
  <c r="O34" i="179"/>
  <c r="N34" i="179"/>
  <c r="K34" i="179"/>
  <c r="H34" i="179"/>
  <c r="F34" i="179"/>
  <c r="P34" i="179" s="1"/>
  <c r="E34" i="179"/>
  <c r="O33" i="179"/>
  <c r="N33" i="179"/>
  <c r="K33" i="179"/>
  <c r="H33" i="179"/>
  <c r="F33" i="179"/>
  <c r="P33" i="179" s="1"/>
  <c r="E33" i="179"/>
  <c r="O32" i="179"/>
  <c r="N32" i="179"/>
  <c r="K32" i="179"/>
  <c r="H32" i="179"/>
  <c r="F32" i="179"/>
  <c r="E32" i="179"/>
  <c r="O31" i="179"/>
  <c r="N31" i="179"/>
  <c r="K31" i="179"/>
  <c r="H31" i="179"/>
  <c r="F31" i="179"/>
  <c r="P31" i="179" s="1"/>
  <c r="E31" i="179"/>
  <c r="O30" i="179"/>
  <c r="N30" i="179"/>
  <c r="K30" i="179"/>
  <c r="H30" i="179"/>
  <c r="F30" i="179"/>
  <c r="P30" i="179" s="1"/>
  <c r="E30" i="179"/>
  <c r="P28" i="179"/>
  <c r="J28" i="179"/>
  <c r="D28" i="179"/>
  <c r="L28" i="179" s="1"/>
  <c r="M28" i="179" s="1"/>
  <c r="C28" i="179"/>
  <c r="H28" i="179" s="1"/>
  <c r="I28" i="179" s="1"/>
  <c r="O28" i="179" s="1"/>
  <c r="A28" i="179"/>
  <c r="P27" i="179"/>
  <c r="J27" i="179"/>
  <c r="D27" i="179"/>
  <c r="L27" i="179" s="1"/>
  <c r="M27" i="179" s="1"/>
  <c r="C27" i="179"/>
  <c r="H27" i="179" s="1"/>
  <c r="I27" i="179" s="1"/>
  <c r="O27" i="179" s="1"/>
  <c r="A27" i="179"/>
  <c r="P26" i="179"/>
  <c r="J26" i="179"/>
  <c r="E26" i="179" a="1"/>
  <c r="E26" i="179" s="1"/>
  <c r="D26" i="179"/>
  <c r="L26" i="179" s="1"/>
  <c r="M26" i="179" s="1"/>
  <c r="C26" i="179"/>
  <c r="H26" i="179" s="1"/>
  <c r="I26" i="179" s="1"/>
  <c r="O26" i="179" s="1"/>
  <c r="P25" i="179"/>
  <c r="J25" i="179"/>
  <c r="E25" i="179" a="1"/>
  <c r="E25" i="179" s="1"/>
  <c r="D25" i="179"/>
  <c r="L25" i="179" s="1"/>
  <c r="M25" i="179" s="1"/>
  <c r="C25" i="179"/>
  <c r="F25" i="179" s="1"/>
  <c r="P24" i="179"/>
  <c r="J24" i="179"/>
  <c r="E24" i="179" a="1"/>
  <c r="E24" i="179" s="1"/>
  <c r="D24" i="179"/>
  <c r="L24" i="179" s="1"/>
  <c r="M24" i="179" s="1"/>
  <c r="C24" i="179"/>
  <c r="H24" i="179" s="1"/>
  <c r="I24" i="179" s="1"/>
  <c r="O24" i="179" s="1"/>
  <c r="P23" i="179"/>
  <c r="J23" i="179"/>
  <c r="E23" i="179" a="1"/>
  <c r="E23" i="179" s="1"/>
  <c r="D23" i="179"/>
  <c r="L23" i="179" s="1"/>
  <c r="M23" i="179" s="1"/>
  <c r="C23" i="179"/>
  <c r="F23" i="179" s="1"/>
  <c r="P22" i="179"/>
  <c r="J22" i="179"/>
  <c r="E22" i="179" a="1"/>
  <c r="E22" i="179" s="1"/>
  <c r="D22" i="179"/>
  <c r="L22" i="179" s="1"/>
  <c r="M22" i="179" s="1"/>
  <c r="C22" i="179"/>
  <c r="H22" i="179" s="1"/>
  <c r="I22" i="179" s="1"/>
  <c r="O22" i="179" s="1"/>
  <c r="P21" i="179"/>
  <c r="J21" i="179"/>
  <c r="D21" i="179"/>
  <c r="L21" i="179" s="1"/>
  <c r="M21" i="179" s="1"/>
  <c r="C21" i="179"/>
  <c r="F21" i="179" s="1"/>
  <c r="J20" i="179"/>
  <c r="E20" i="179" a="1"/>
  <c r="E20" i="179" s="1"/>
  <c r="D20" i="179"/>
  <c r="L20" i="179" s="1"/>
  <c r="M20" i="179" s="1"/>
  <c r="C20" i="179"/>
  <c r="H20" i="179" s="1"/>
  <c r="I20" i="179" s="1"/>
  <c r="O20" i="179" s="1"/>
  <c r="J19" i="179"/>
  <c r="D19" i="179"/>
  <c r="L19" i="179" s="1"/>
  <c r="M19" i="179" s="1"/>
  <c r="C19" i="179"/>
  <c r="F19" i="179" s="1"/>
  <c r="N17" i="179"/>
  <c r="E17" i="179"/>
  <c r="P17" i="179" s="1"/>
  <c r="P16" i="179"/>
  <c r="N16" i="179"/>
  <c r="E16" i="179"/>
  <c r="N15" i="179"/>
  <c r="J15" i="179"/>
  <c r="J16" i="179" s="1"/>
  <c r="E15" i="179"/>
  <c r="P15" i="179" s="1"/>
  <c r="J14" i="179"/>
  <c r="U6" i="179" s="1"/>
  <c r="P13" i="179"/>
  <c r="O13" i="179"/>
  <c r="P11" i="179"/>
  <c r="J11" i="179"/>
  <c r="J10" i="179"/>
  <c r="E10" i="179"/>
  <c r="O9" i="179"/>
  <c r="E9" i="179"/>
  <c r="P9" i="179" s="1"/>
  <c r="J8" i="179"/>
  <c r="J9" i="179" s="1"/>
  <c r="S10" i="179" s="1"/>
  <c r="L7" i="179"/>
  <c r="F7" i="179"/>
  <c r="P5" i="179"/>
  <c r="P19" i="179" s="1"/>
  <c r="N5" i="179"/>
  <c r="M5" i="179"/>
  <c r="K5" i="179"/>
  <c r="J5" i="179"/>
  <c r="J13" i="179" s="1"/>
  <c r="N4" i="179"/>
  <c r="M4" i="179"/>
  <c r="J4" i="179"/>
  <c r="F4" i="179"/>
  <c r="E4" i="179"/>
  <c r="P90" i="178"/>
  <c r="O90" i="178"/>
  <c r="K90" i="178"/>
  <c r="I90" i="178"/>
  <c r="G90" i="178"/>
  <c r="P89" i="178"/>
  <c r="O89" i="178"/>
  <c r="K89" i="178"/>
  <c r="I89" i="178"/>
  <c r="G89" i="178"/>
  <c r="P88" i="178"/>
  <c r="O88" i="178"/>
  <c r="K88" i="178"/>
  <c r="I88" i="178"/>
  <c r="G88" i="178"/>
  <c r="P87" i="178"/>
  <c r="O87" i="178"/>
  <c r="K87" i="178"/>
  <c r="I87" i="178"/>
  <c r="G87" i="178"/>
  <c r="P86" i="178"/>
  <c r="O86" i="178"/>
  <c r="K86" i="178"/>
  <c r="I86" i="178"/>
  <c r="G86" i="178"/>
  <c r="P85" i="178"/>
  <c r="O85" i="178"/>
  <c r="K85" i="178"/>
  <c r="I85" i="178"/>
  <c r="G85" i="178"/>
  <c r="P84" i="178"/>
  <c r="O84" i="178"/>
  <c r="K84" i="178"/>
  <c r="I84" i="178"/>
  <c r="G84" i="178"/>
  <c r="P83" i="178"/>
  <c r="O83" i="178"/>
  <c r="K83" i="178"/>
  <c r="I83" i="178"/>
  <c r="G83" i="178"/>
  <c r="P82" i="178"/>
  <c r="O82" i="178"/>
  <c r="K82" i="178"/>
  <c r="I82" i="178"/>
  <c r="G82" i="178"/>
  <c r="P81" i="178"/>
  <c r="O81" i="178"/>
  <c r="K81" i="178"/>
  <c r="I81" i="178"/>
  <c r="G81" i="178"/>
  <c r="P80" i="178"/>
  <c r="O80" i="178"/>
  <c r="K80" i="178"/>
  <c r="I80" i="178"/>
  <c r="G80" i="178"/>
  <c r="P79" i="178"/>
  <c r="O79" i="178"/>
  <c r="K79" i="178"/>
  <c r="I79" i="178"/>
  <c r="G79" i="178"/>
  <c r="P78" i="178"/>
  <c r="O78" i="178"/>
  <c r="K78" i="178"/>
  <c r="I78" i="178"/>
  <c r="G78" i="178"/>
  <c r="P77" i="178"/>
  <c r="O77" i="178"/>
  <c r="K77" i="178"/>
  <c r="I77" i="178"/>
  <c r="G77" i="178"/>
  <c r="P76" i="178"/>
  <c r="O76" i="178"/>
  <c r="K76" i="178"/>
  <c r="I76" i="178"/>
  <c r="G76" i="178"/>
  <c r="P75" i="178"/>
  <c r="O75" i="178"/>
  <c r="K75" i="178"/>
  <c r="I75" i="178"/>
  <c r="G75" i="178"/>
  <c r="P74" i="178"/>
  <c r="O74" i="178"/>
  <c r="K74" i="178"/>
  <c r="I74" i="178"/>
  <c r="G74" i="178"/>
  <c r="P73" i="178"/>
  <c r="K73" i="178"/>
  <c r="I73" i="178"/>
  <c r="G73" i="178"/>
  <c r="P71" i="178"/>
  <c r="O71" i="178"/>
  <c r="K71" i="178"/>
  <c r="G71" i="178"/>
  <c r="P70" i="178"/>
  <c r="O70" i="178"/>
  <c r="N70" i="178"/>
  <c r="K70" i="178"/>
  <c r="G70" i="178"/>
  <c r="P69" i="178"/>
  <c r="O69" i="178"/>
  <c r="N69" i="178"/>
  <c r="K69" i="178"/>
  <c r="G69" i="178"/>
  <c r="N67" i="178"/>
  <c r="F66" i="178" a="1"/>
  <c r="F66" i="178" s="1"/>
  <c r="P65" i="178"/>
  <c r="K65" i="178"/>
  <c r="E65" i="178"/>
  <c r="O64" i="178"/>
  <c r="M64" i="178"/>
  <c r="L64" i="178"/>
  <c r="L65" i="178" s="1"/>
  <c r="K64" i="178"/>
  <c r="J64" i="178"/>
  <c r="H64" i="178"/>
  <c r="I64" i="178" s="1"/>
  <c r="E64" i="178"/>
  <c r="E57" i="178"/>
  <c r="P57" i="178" s="1"/>
  <c r="O56" i="178"/>
  <c r="N56" i="178"/>
  <c r="L56" i="178"/>
  <c r="K56" i="178"/>
  <c r="H56" i="178"/>
  <c r="F56" i="178"/>
  <c r="P56" i="178" s="1"/>
  <c r="E56" i="178"/>
  <c r="O55" i="178"/>
  <c r="N55" i="178"/>
  <c r="L55" i="178"/>
  <c r="K55" i="178"/>
  <c r="H55" i="178"/>
  <c r="F55" i="178"/>
  <c r="P55" i="178" s="1"/>
  <c r="E55" i="178"/>
  <c r="O54" i="178"/>
  <c r="N54" i="178"/>
  <c r="L54" i="178"/>
  <c r="K54" i="178"/>
  <c r="H54" i="178"/>
  <c r="F54" i="178"/>
  <c r="P54" i="178" s="1"/>
  <c r="E54" i="178"/>
  <c r="O53" i="178"/>
  <c r="N53" i="178"/>
  <c r="L53" i="178"/>
  <c r="K53" i="178"/>
  <c r="H53" i="178"/>
  <c r="F53" i="178"/>
  <c r="P53" i="178" s="1"/>
  <c r="E53" i="178"/>
  <c r="O52" i="178"/>
  <c r="N52" i="178"/>
  <c r="L52" i="178"/>
  <c r="K52" i="178"/>
  <c r="H52" i="178"/>
  <c r="F52" i="178"/>
  <c r="P52" i="178" s="1"/>
  <c r="E52" i="178"/>
  <c r="O51" i="178"/>
  <c r="N51" i="178"/>
  <c r="L51" i="178"/>
  <c r="K51" i="178"/>
  <c r="H51" i="178"/>
  <c r="F51" i="178"/>
  <c r="P51" i="178" s="1"/>
  <c r="E51" i="178"/>
  <c r="O50" i="178"/>
  <c r="N50" i="178"/>
  <c r="L50" i="178"/>
  <c r="K50" i="178"/>
  <c r="H50" i="178"/>
  <c r="F50" i="178"/>
  <c r="P50" i="178" s="1"/>
  <c r="E50" i="178"/>
  <c r="O49" i="178"/>
  <c r="N49" i="178"/>
  <c r="L49" i="178"/>
  <c r="K49" i="178"/>
  <c r="H49" i="178"/>
  <c r="F49" i="178"/>
  <c r="P49" i="178" s="1"/>
  <c r="E49" i="178"/>
  <c r="O48" i="178"/>
  <c r="N48" i="178"/>
  <c r="L48" i="178"/>
  <c r="K48" i="178"/>
  <c r="H48" i="178"/>
  <c r="F48" i="178"/>
  <c r="P48" i="178" s="1"/>
  <c r="E48" i="178"/>
  <c r="O47" i="178"/>
  <c r="N47" i="178"/>
  <c r="L47" i="178"/>
  <c r="K47" i="178"/>
  <c r="H47" i="178"/>
  <c r="F47" i="178"/>
  <c r="P47" i="178" s="1"/>
  <c r="E47" i="178"/>
  <c r="O46" i="178"/>
  <c r="N46" i="178"/>
  <c r="L46" i="178"/>
  <c r="K46" i="178"/>
  <c r="H46" i="178"/>
  <c r="F46" i="178"/>
  <c r="P46" i="178" s="1"/>
  <c r="E46" i="178"/>
  <c r="O45" i="178"/>
  <c r="N45" i="178"/>
  <c r="L45" i="178"/>
  <c r="K45" i="178"/>
  <c r="H45" i="178"/>
  <c r="F45" i="178"/>
  <c r="P45" i="178" s="1"/>
  <c r="E45" i="178"/>
  <c r="O44" i="178"/>
  <c r="N44" i="178"/>
  <c r="L44" i="178"/>
  <c r="K44" i="178"/>
  <c r="H44" i="178"/>
  <c r="F44" i="178"/>
  <c r="P44" i="178" s="1"/>
  <c r="E44" i="178"/>
  <c r="O43" i="178"/>
  <c r="N43" i="178"/>
  <c r="L43" i="178"/>
  <c r="K43" i="178"/>
  <c r="H43" i="178"/>
  <c r="F43" i="178"/>
  <c r="P43" i="178" s="1"/>
  <c r="E43" i="178"/>
  <c r="O42" i="178"/>
  <c r="N42" i="178"/>
  <c r="L42" i="178"/>
  <c r="K42" i="178"/>
  <c r="H42" i="178"/>
  <c r="F42" i="178"/>
  <c r="P42" i="178" s="1"/>
  <c r="E42" i="178"/>
  <c r="O41" i="178"/>
  <c r="N41" i="178"/>
  <c r="L41" i="178"/>
  <c r="K41" i="178"/>
  <c r="H41" i="178"/>
  <c r="F41" i="178"/>
  <c r="P41" i="178" s="1"/>
  <c r="E41" i="178"/>
  <c r="O40" i="178"/>
  <c r="N40" i="178"/>
  <c r="L40" i="178"/>
  <c r="K40" i="178"/>
  <c r="H40" i="178"/>
  <c r="F40" i="178"/>
  <c r="P40" i="178" s="1"/>
  <c r="E40" i="178"/>
  <c r="O39" i="178"/>
  <c r="N39" i="178"/>
  <c r="L39" i="178"/>
  <c r="K39" i="178"/>
  <c r="H39" i="178"/>
  <c r="F39" i="178"/>
  <c r="P39" i="178" s="1"/>
  <c r="E39" i="178"/>
  <c r="O38" i="178"/>
  <c r="N38" i="178"/>
  <c r="L38" i="178"/>
  <c r="K38" i="178"/>
  <c r="H38" i="178"/>
  <c r="F38" i="178"/>
  <c r="P38" i="178" s="1"/>
  <c r="E38" i="178"/>
  <c r="O37" i="178"/>
  <c r="N37" i="178"/>
  <c r="L37" i="178"/>
  <c r="K37" i="178"/>
  <c r="H37" i="178"/>
  <c r="F37" i="178"/>
  <c r="P37" i="178" s="1"/>
  <c r="E37" i="178"/>
  <c r="O36" i="178"/>
  <c r="N36" i="178"/>
  <c r="L36" i="178"/>
  <c r="K36" i="178"/>
  <c r="H36" i="178"/>
  <c r="F36" i="178"/>
  <c r="P36" i="178" s="1"/>
  <c r="E36" i="178"/>
  <c r="O34" i="178"/>
  <c r="N34" i="178"/>
  <c r="K34" i="178"/>
  <c r="H34" i="178"/>
  <c r="F34" i="178"/>
  <c r="P34" i="178" s="1"/>
  <c r="E34" i="178"/>
  <c r="O33" i="178"/>
  <c r="N33" i="178"/>
  <c r="K33" i="178"/>
  <c r="H33" i="178"/>
  <c r="F33" i="178"/>
  <c r="P33" i="178" s="1"/>
  <c r="E33" i="178"/>
  <c r="O32" i="178"/>
  <c r="N32" i="178"/>
  <c r="K32" i="178"/>
  <c r="H32" i="178"/>
  <c r="F32" i="178"/>
  <c r="E32" i="178"/>
  <c r="O31" i="178"/>
  <c r="N31" i="178"/>
  <c r="K31" i="178"/>
  <c r="H31" i="178"/>
  <c r="F31" i="178"/>
  <c r="E31" i="178"/>
  <c r="O30" i="178"/>
  <c r="N30" i="178"/>
  <c r="K30" i="178"/>
  <c r="H30" i="178"/>
  <c r="F30" i="178"/>
  <c r="P30" i="178" s="1"/>
  <c r="E30" i="178"/>
  <c r="P28" i="178"/>
  <c r="J28" i="178"/>
  <c r="D28" i="178"/>
  <c r="L28" i="178" s="1"/>
  <c r="M28" i="178" s="1"/>
  <c r="C28" i="178"/>
  <c r="H28" i="178" s="1"/>
  <c r="I28" i="178" s="1"/>
  <c r="O28" i="178" s="1"/>
  <c r="A28" i="178"/>
  <c r="P27" i="178"/>
  <c r="J27" i="178"/>
  <c r="D27" i="178"/>
  <c r="L27" i="178" s="1"/>
  <c r="M27" i="178" s="1"/>
  <c r="C27" i="178"/>
  <c r="F27" i="178" s="1"/>
  <c r="A27" i="178"/>
  <c r="P26" i="178"/>
  <c r="J26" i="178"/>
  <c r="E26" i="178" a="1"/>
  <c r="E26" i="178" s="1"/>
  <c r="D26" i="178"/>
  <c r="L26" i="178" s="1"/>
  <c r="M26" i="178" s="1"/>
  <c r="C26" i="178"/>
  <c r="F26" i="178" s="1"/>
  <c r="P25" i="178"/>
  <c r="J25" i="178"/>
  <c r="E25" i="178" a="1"/>
  <c r="E25" i="178" s="1"/>
  <c r="D25" i="178"/>
  <c r="L25" i="178" s="1"/>
  <c r="M25" i="178" s="1"/>
  <c r="C25" i="178"/>
  <c r="H25" i="178" s="1"/>
  <c r="I25" i="178" s="1"/>
  <c r="O25" i="178" s="1"/>
  <c r="P24" i="178"/>
  <c r="J24" i="178"/>
  <c r="E24" i="178" a="1"/>
  <c r="E24" i="178" s="1"/>
  <c r="D24" i="178"/>
  <c r="L24" i="178" s="1"/>
  <c r="M24" i="178" s="1"/>
  <c r="C24" i="178"/>
  <c r="F24" i="178" s="1"/>
  <c r="P23" i="178"/>
  <c r="J23" i="178"/>
  <c r="E23" i="178" a="1"/>
  <c r="E23" i="178" s="1"/>
  <c r="D23" i="178"/>
  <c r="L23" i="178" s="1"/>
  <c r="M23" i="178" s="1"/>
  <c r="C23" i="178"/>
  <c r="H23" i="178" s="1"/>
  <c r="I23" i="178" s="1"/>
  <c r="O23" i="178" s="1"/>
  <c r="P22" i="178"/>
  <c r="J22" i="178"/>
  <c r="E22" i="178" a="1"/>
  <c r="E22" i="178" s="1"/>
  <c r="D22" i="178"/>
  <c r="L22" i="178" s="1"/>
  <c r="M22" i="178" s="1"/>
  <c r="C22" i="178"/>
  <c r="F22" i="178" s="1"/>
  <c r="P21" i="178"/>
  <c r="J21" i="178"/>
  <c r="E21" i="178" a="1"/>
  <c r="E21" i="178" s="1"/>
  <c r="D21" i="178"/>
  <c r="L21" i="178" s="1"/>
  <c r="M21" i="178" s="1"/>
  <c r="C21" i="178"/>
  <c r="F21" i="178" s="1"/>
  <c r="J20" i="178"/>
  <c r="D20" i="178"/>
  <c r="L20" i="178" s="1"/>
  <c r="M20" i="178" s="1"/>
  <c r="C20" i="178"/>
  <c r="F20" i="178" s="1"/>
  <c r="J19" i="178"/>
  <c r="D19" i="178"/>
  <c r="L19" i="178" s="1"/>
  <c r="M19" i="178" s="1"/>
  <c r="C19" i="178"/>
  <c r="H19" i="178" s="1"/>
  <c r="S9" i="178" s="1"/>
  <c r="N17" i="178"/>
  <c r="E17" i="178"/>
  <c r="P17" i="178" s="1"/>
  <c r="P16" i="178"/>
  <c r="N16" i="178"/>
  <c r="E16" i="178"/>
  <c r="N15" i="178"/>
  <c r="J15" i="178"/>
  <c r="J16" i="178" s="1"/>
  <c r="E15" i="178"/>
  <c r="P15" i="178" s="1"/>
  <c r="J14" i="178"/>
  <c r="U6" i="178" s="1"/>
  <c r="P13" i="178"/>
  <c r="O13" i="178"/>
  <c r="P11" i="178"/>
  <c r="J11" i="178"/>
  <c r="J10" i="178"/>
  <c r="E10" i="178"/>
  <c r="O9" i="178"/>
  <c r="J8" i="178"/>
  <c r="J9" i="178" s="1"/>
  <c r="S10" i="178" s="1"/>
  <c r="L7" i="178"/>
  <c r="F7" i="178"/>
  <c r="P5" i="178"/>
  <c r="P20" i="178" s="1"/>
  <c r="N5" i="178"/>
  <c r="M5" i="178"/>
  <c r="K5" i="178"/>
  <c r="J5" i="178"/>
  <c r="J13" i="178" s="1"/>
  <c r="N4" i="178"/>
  <c r="M4" i="178"/>
  <c r="J4" i="178"/>
  <c r="F4" i="178"/>
  <c r="E4" i="178"/>
  <c r="E5" i="178" s="1"/>
  <c r="P91" i="183" l="1"/>
  <c r="Z6" i="183" s="1"/>
  <c r="P2" i="183" s="1"/>
  <c r="P91" i="185"/>
  <c r="Z6" i="185" s="1"/>
  <c r="P2" i="185" s="1"/>
  <c r="P64" i="186"/>
  <c r="P19" i="185"/>
  <c r="P20" i="185"/>
  <c r="P10" i="185"/>
  <c r="P14" i="185"/>
  <c r="L65" i="184"/>
  <c r="L66" i="184" s="1"/>
  <c r="E9" i="184"/>
  <c r="P9" i="184" s="1"/>
  <c r="E21" i="184" a="1"/>
  <c r="E21" i="184" s="1"/>
  <c r="E20" i="183" a="1"/>
  <c r="E20" i="183" s="1"/>
  <c r="L66" i="178"/>
  <c r="L67" i="178" s="1"/>
  <c r="P14" i="178"/>
  <c r="M11" i="178"/>
  <c r="S6" i="178" s="1"/>
  <c r="M11" i="179"/>
  <c r="S6" i="179" s="1"/>
  <c r="P8" i="179"/>
  <c r="P10" i="179"/>
  <c r="S7" i="187"/>
  <c r="A7" i="186"/>
  <c r="E20" i="186" a="1"/>
  <c r="E20" i="186" s="1"/>
  <c r="K14" i="185"/>
  <c r="S10" i="185"/>
  <c r="J67" i="185"/>
  <c r="E7" i="185" a="1"/>
  <c r="E7" i="185" s="1"/>
  <c r="P7" i="185" s="1" a="1"/>
  <c r="P7" i="185" s="1"/>
  <c r="M11" i="185"/>
  <c r="S6" i="185" s="1"/>
  <c r="K14" i="184"/>
  <c r="S10" i="184"/>
  <c r="L67" i="184"/>
  <c r="P20" i="184"/>
  <c r="P10" i="184"/>
  <c r="E7" i="184" a="1"/>
  <c r="E7" i="184" s="1"/>
  <c r="P7" i="184" s="1" a="1"/>
  <c r="P7" i="184" s="1"/>
  <c r="P91" i="184" s="1"/>
  <c r="Z6" i="184" s="1"/>
  <c r="P2" i="184" s="1"/>
  <c r="P14" i="184"/>
  <c r="J67" i="184"/>
  <c r="J7" i="184"/>
  <c r="M11" i="184"/>
  <c r="S6" i="184" s="1"/>
  <c r="L65" i="183"/>
  <c r="P8" i="183"/>
  <c r="P20" i="183"/>
  <c r="P10" i="183"/>
  <c r="A7" i="183"/>
  <c r="P14" i="183"/>
  <c r="M11" i="183"/>
  <c r="S6" i="183" s="1"/>
  <c r="J67" i="183"/>
  <c r="K14" i="181"/>
  <c r="S10" i="181"/>
  <c r="J67" i="181"/>
  <c r="E64" i="181"/>
  <c r="E7" i="181" a="1"/>
  <c r="E7" i="181" s="1"/>
  <c r="P7" i="181" s="1" a="1"/>
  <c r="P7" i="181" s="1"/>
  <c r="L65" i="181"/>
  <c r="L66" i="181" s="1"/>
  <c r="L67" i="181" s="1"/>
  <c r="M11" i="181"/>
  <c r="S6" i="181" s="1"/>
  <c r="P19" i="178"/>
  <c r="P8" i="178"/>
  <c r="E7" i="178" a="1"/>
  <c r="E7" i="178" s="1"/>
  <c r="P7" i="178" s="1" a="1"/>
  <c r="P7" i="178" s="1"/>
  <c r="E20" i="178" a="1"/>
  <c r="E20" i="178" s="1"/>
  <c r="P10" i="178"/>
  <c r="E64" i="179"/>
  <c r="P20" i="179"/>
  <c r="P14" i="179"/>
  <c r="J67" i="186"/>
  <c r="M11" i="186"/>
  <c r="S6" i="186" s="1"/>
  <c r="P14" i="186"/>
  <c r="L66" i="186"/>
  <c r="L67" i="186" s="1"/>
  <c r="E7" i="186" a="1"/>
  <c r="E7" i="186" s="1"/>
  <c r="P7" i="186" s="1" a="1"/>
  <c r="P7" i="186" s="1"/>
  <c r="E19" i="186" a="1"/>
  <c r="E19" i="186" s="1"/>
  <c r="P8" i="186"/>
  <c r="E9" i="186"/>
  <c r="P9" i="186" s="1"/>
  <c r="P19" i="186"/>
  <c r="P10" i="186"/>
  <c r="E2" i="187"/>
  <c r="E64" i="186"/>
  <c r="N7" i="186"/>
  <c r="S11" i="186" s="1"/>
  <c r="K14" i="186"/>
  <c r="S10" i="186"/>
  <c r="I19" i="186"/>
  <c r="O19" i="186" s="1"/>
  <c r="S9" i="186"/>
  <c r="P67" i="186"/>
  <c r="J7" i="186"/>
  <c r="F28" i="186"/>
  <c r="H20" i="186"/>
  <c r="I20" i="186" s="1"/>
  <c r="O20" i="186" s="1"/>
  <c r="H66" i="186"/>
  <c r="I64" i="186"/>
  <c r="F24" i="186"/>
  <c r="F26" i="186"/>
  <c r="F19" i="186"/>
  <c r="F21" i="186"/>
  <c r="F23" i="186"/>
  <c r="F25" i="186"/>
  <c r="H27" i="186"/>
  <c r="I27" i="186" s="1"/>
  <c r="O27" i="186" s="1"/>
  <c r="H22" i="186"/>
  <c r="I22" i="186" s="1"/>
  <c r="O22" i="186" s="1"/>
  <c r="A7" i="185"/>
  <c r="E5" i="185"/>
  <c r="E19" i="185" a="1"/>
  <c r="E19" i="185" s="1"/>
  <c r="E9" i="185"/>
  <c r="P9" i="185" s="1"/>
  <c r="P64" i="185"/>
  <c r="P67" i="185" s="1"/>
  <c r="L65" i="185"/>
  <c r="L66" i="185" s="1"/>
  <c r="L67" i="185" s="1"/>
  <c r="J7" i="185"/>
  <c r="F26" i="185"/>
  <c r="H19" i="185"/>
  <c r="S9" i="185" s="1"/>
  <c r="H21" i="185"/>
  <c r="I21" i="185" s="1"/>
  <c r="O21" i="185" s="1"/>
  <c r="H23" i="185"/>
  <c r="I23" i="185" s="1"/>
  <c r="O23" i="185" s="1"/>
  <c r="H25" i="185"/>
  <c r="I25" i="185" s="1"/>
  <c r="O25" i="185" s="1"/>
  <c r="H66" i="185"/>
  <c r="S12" i="185" s="1"/>
  <c r="F28" i="185"/>
  <c r="N7" i="185"/>
  <c r="S11" i="185" s="1"/>
  <c r="F20" i="185"/>
  <c r="F22" i="185"/>
  <c r="F24" i="185"/>
  <c r="H27" i="185"/>
  <c r="I27" i="185" s="1"/>
  <c r="O27" i="185" s="1"/>
  <c r="N7" i="184"/>
  <c r="S11" i="184" s="1"/>
  <c r="F20" i="184"/>
  <c r="F22" i="184"/>
  <c r="F24" i="184"/>
  <c r="F26" i="184"/>
  <c r="P64" i="184"/>
  <c r="P67" i="184" s="1"/>
  <c r="P8" i="184"/>
  <c r="H66" i="184"/>
  <c r="S12" i="184" s="1"/>
  <c r="I64" i="184"/>
  <c r="H28" i="184"/>
  <c r="I28" i="184" s="1"/>
  <c r="O28" i="184" s="1"/>
  <c r="H23" i="184"/>
  <c r="I23" i="184" s="1"/>
  <c r="O23" i="184" s="1"/>
  <c r="H19" i="184"/>
  <c r="S9" i="184" s="1"/>
  <c r="H21" i="184"/>
  <c r="I21" i="184" s="1"/>
  <c r="O21" i="184" s="1"/>
  <c r="H25" i="184"/>
  <c r="I25" i="184" s="1"/>
  <c r="O25" i="184" s="1"/>
  <c r="F27" i="184"/>
  <c r="A7" i="184"/>
  <c r="E19" i="184" a="1"/>
  <c r="E19" i="184" s="1"/>
  <c r="E5" i="184"/>
  <c r="E7" i="183" a="1"/>
  <c r="E7" i="183" s="1"/>
  <c r="P7" i="183" s="1" a="1"/>
  <c r="P7" i="183" s="1"/>
  <c r="L66" i="183"/>
  <c r="L67" i="183" s="1"/>
  <c r="I19" i="183"/>
  <c r="O19" i="183" s="1"/>
  <c r="K14" i="183"/>
  <c r="J7" i="183"/>
  <c r="F28" i="183"/>
  <c r="N7" i="183"/>
  <c r="S11" i="183" s="1"/>
  <c r="F20" i="183"/>
  <c r="F22" i="183"/>
  <c r="F24" i="183"/>
  <c r="F26" i="183"/>
  <c r="P64" i="183"/>
  <c r="P67" i="183" s="1"/>
  <c r="H66" i="183"/>
  <c r="S12" i="183" s="1"/>
  <c r="H25" i="183"/>
  <c r="I25" i="183" s="1"/>
  <c r="O25" i="183" s="1"/>
  <c r="I64" i="183"/>
  <c r="F27" i="183"/>
  <c r="E5" i="183"/>
  <c r="F19" i="183"/>
  <c r="F21" i="183"/>
  <c r="F23" i="183"/>
  <c r="A7" i="181"/>
  <c r="P19" i="181"/>
  <c r="E9" i="181"/>
  <c r="P9" i="181" s="1"/>
  <c r="E20" i="181" a="1"/>
  <c r="E20" i="181" s="1"/>
  <c r="P10" i="181"/>
  <c r="P20" i="181"/>
  <c r="F27" i="181"/>
  <c r="P14" i="181"/>
  <c r="I66" i="181"/>
  <c r="O73" i="181" s="1"/>
  <c r="N7" i="181"/>
  <c r="S11" i="181" s="1"/>
  <c r="F20" i="181"/>
  <c r="F22" i="181"/>
  <c r="F24" i="181"/>
  <c r="F26" i="181"/>
  <c r="P64" i="181"/>
  <c r="P67" i="181" s="1"/>
  <c r="J7" i="181"/>
  <c r="F23" i="181"/>
  <c r="H19" i="181"/>
  <c r="S9" i="181" s="1"/>
  <c r="H21" i="181"/>
  <c r="I21" i="181" s="1"/>
  <c r="O21" i="181" s="1"/>
  <c r="E5" i="181"/>
  <c r="F25" i="181"/>
  <c r="P66" i="181" a="1"/>
  <c r="P66" i="181" s="1"/>
  <c r="P91" i="181" s="1"/>
  <c r="Z6" i="181" s="1"/>
  <c r="P2" i="181" s="1"/>
  <c r="I64" i="181"/>
  <c r="F28" i="181"/>
  <c r="E19" i="181" a="1"/>
  <c r="E19" i="181" s="1"/>
  <c r="J67" i="179"/>
  <c r="L65" i="179"/>
  <c r="L66" i="179" s="1"/>
  <c r="L67" i="179" s="1"/>
  <c r="P64" i="179"/>
  <c r="P67" i="179" s="1"/>
  <c r="A7" i="179"/>
  <c r="E7" i="179" a="1"/>
  <c r="E7" i="179" s="1"/>
  <c r="P7" i="179" s="1" a="1"/>
  <c r="P7" i="179" s="1"/>
  <c r="K14" i="179"/>
  <c r="N7" i="179"/>
  <c r="S11" i="179" s="1"/>
  <c r="F20" i="179"/>
  <c r="F22" i="179"/>
  <c r="F24" i="179"/>
  <c r="F26" i="179"/>
  <c r="I64" i="179"/>
  <c r="H66" i="179"/>
  <c r="E19" i="179" a="1"/>
  <c r="E19" i="179" s="1"/>
  <c r="E21" i="179" a="1"/>
  <c r="E21" i="179" s="1"/>
  <c r="H19" i="179"/>
  <c r="S9" i="179" s="1"/>
  <c r="H21" i="179"/>
  <c r="I21" i="179" s="1"/>
  <c r="O21" i="179" s="1"/>
  <c r="H23" i="179"/>
  <c r="I23" i="179" s="1"/>
  <c r="O23" i="179" s="1"/>
  <c r="H25" i="179"/>
  <c r="I25" i="179" s="1"/>
  <c r="O25" i="179" s="1"/>
  <c r="F28" i="179"/>
  <c r="J7" i="179"/>
  <c r="F27" i="179"/>
  <c r="E5" i="179"/>
  <c r="A7" i="178"/>
  <c r="J67" i="178"/>
  <c r="N7" i="178"/>
  <c r="S11" i="178" s="1"/>
  <c r="K14" i="178"/>
  <c r="I19" i="178"/>
  <c r="O19" i="178" s="1"/>
  <c r="H20" i="178"/>
  <c r="I20" i="178" s="1"/>
  <c r="O20" i="178" s="1"/>
  <c r="H22" i="178"/>
  <c r="I22" i="178" s="1"/>
  <c r="O22" i="178" s="1"/>
  <c r="H24" i="178"/>
  <c r="I24" i="178" s="1"/>
  <c r="O24" i="178" s="1"/>
  <c r="H26" i="178"/>
  <c r="I26" i="178" s="1"/>
  <c r="O26" i="178" s="1"/>
  <c r="P64" i="178"/>
  <c r="P67" i="178" s="1"/>
  <c r="E9" i="178"/>
  <c r="P9" i="178" s="1"/>
  <c r="F28" i="178"/>
  <c r="J7" i="178"/>
  <c r="E19" i="178" a="1"/>
  <c r="E19" i="178" s="1"/>
  <c r="H66" i="178"/>
  <c r="H21" i="178"/>
  <c r="I21" i="178" s="1"/>
  <c r="O21" i="178" s="1"/>
  <c r="F19" i="178"/>
  <c r="F23" i="178"/>
  <c r="F25" i="178"/>
  <c r="H27" i="178"/>
  <c r="I27" i="178" s="1"/>
  <c r="O27" i="178" s="1"/>
  <c r="W6" i="184" l="1"/>
  <c r="W6" i="185"/>
  <c r="W6" i="183"/>
  <c r="W6" i="181"/>
  <c r="E2" i="186"/>
  <c r="E2" i="185"/>
  <c r="P66" i="185" a="1"/>
  <c r="P66" i="185" s="1"/>
  <c r="E2" i="183"/>
  <c r="P66" i="178" a="1"/>
  <c r="P66" i="178" s="1"/>
  <c r="S12" i="178"/>
  <c r="E2" i="178"/>
  <c r="E2" i="179"/>
  <c r="P66" i="179" a="1"/>
  <c r="P66" i="179" s="1"/>
  <c r="S12" i="179"/>
  <c r="S12" i="186"/>
  <c r="I66" i="186"/>
  <c r="O73" i="186" s="1"/>
  <c r="S7" i="186" s="1"/>
  <c r="P66" i="186" a="1"/>
  <c r="P66" i="186" s="1"/>
  <c r="P91" i="186" s="1"/>
  <c r="I66" i="185"/>
  <c r="O73" i="185" s="1"/>
  <c r="I19" i="185"/>
  <c r="O19" i="185" s="1"/>
  <c r="E2" i="184"/>
  <c r="I66" i="184"/>
  <c r="O73" i="184" s="1"/>
  <c r="I19" i="184"/>
  <c r="O19" i="184" s="1"/>
  <c r="P66" i="184" a="1"/>
  <c r="P66" i="184" s="1"/>
  <c r="I66" i="183"/>
  <c r="O73" i="183" s="1"/>
  <c r="S7" i="183" s="1"/>
  <c r="P66" i="183" a="1"/>
  <c r="P66" i="183" s="1"/>
  <c r="I19" i="181"/>
  <c r="O19" i="181" s="1"/>
  <c r="S7" i="181" s="1"/>
  <c r="E2" i="181"/>
  <c r="I19" i="179"/>
  <c r="O19" i="179" s="1"/>
  <c r="I66" i="179"/>
  <c r="O73" i="179" s="1"/>
  <c r="I66" i="178"/>
  <c r="O73" i="178" s="1"/>
  <c r="S7" i="178" s="1"/>
  <c r="Z6" i="186" l="1"/>
  <c r="P2" i="186" s="1"/>
  <c r="W6" i="186"/>
  <c r="P92" i="181"/>
  <c r="S7" i="185"/>
  <c r="S7" i="184"/>
  <c r="S7" i="179"/>
  <c r="P90" i="177"/>
  <c r="O90" i="177"/>
  <c r="K90" i="177"/>
  <c r="I90" i="177"/>
  <c r="G90" i="177"/>
  <c r="P89" i="177"/>
  <c r="O89" i="177"/>
  <c r="K89" i="177"/>
  <c r="I89" i="177"/>
  <c r="G89" i="177"/>
  <c r="P88" i="177"/>
  <c r="O88" i="177"/>
  <c r="K88" i="177"/>
  <c r="I88" i="177"/>
  <c r="G88" i="177"/>
  <c r="P87" i="177"/>
  <c r="O87" i="177"/>
  <c r="K87" i="177"/>
  <c r="I87" i="177"/>
  <c r="G87" i="177"/>
  <c r="P86" i="177"/>
  <c r="O86" i="177"/>
  <c r="K86" i="177"/>
  <c r="I86" i="177"/>
  <c r="G86" i="177"/>
  <c r="P85" i="177"/>
  <c r="O85" i="177"/>
  <c r="K85" i="177"/>
  <c r="I85" i="177"/>
  <c r="G85" i="177"/>
  <c r="P84" i="177"/>
  <c r="O84" i="177"/>
  <c r="K84" i="177"/>
  <c r="I84" i="177"/>
  <c r="G84" i="177"/>
  <c r="P83" i="177"/>
  <c r="O83" i="177"/>
  <c r="K83" i="177"/>
  <c r="I83" i="177"/>
  <c r="G83" i="177"/>
  <c r="P82" i="177"/>
  <c r="O82" i="177"/>
  <c r="K82" i="177"/>
  <c r="I82" i="177"/>
  <c r="G82" i="177"/>
  <c r="P81" i="177"/>
  <c r="O81" i="177"/>
  <c r="K81" i="177"/>
  <c r="I81" i="177"/>
  <c r="G81" i="177"/>
  <c r="P80" i="177"/>
  <c r="O80" i="177"/>
  <c r="K80" i="177"/>
  <c r="I80" i="177"/>
  <c r="G80" i="177"/>
  <c r="P79" i="177"/>
  <c r="O79" i="177"/>
  <c r="K79" i="177"/>
  <c r="I79" i="177"/>
  <c r="G79" i="177"/>
  <c r="P78" i="177"/>
  <c r="O78" i="177"/>
  <c r="K78" i="177"/>
  <c r="I78" i="177"/>
  <c r="G78" i="177"/>
  <c r="P77" i="177"/>
  <c r="O77" i="177"/>
  <c r="K77" i="177"/>
  <c r="I77" i="177"/>
  <c r="G77" i="177"/>
  <c r="P76" i="177"/>
  <c r="O76" i="177"/>
  <c r="K76" i="177"/>
  <c r="I76" i="177"/>
  <c r="G76" i="177"/>
  <c r="P75" i="177"/>
  <c r="O75" i="177"/>
  <c r="K75" i="177"/>
  <c r="I75" i="177"/>
  <c r="G75" i="177"/>
  <c r="P74" i="177"/>
  <c r="O74" i="177"/>
  <c r="K74" i="177"/>
  <c r="I74" i="177"/>
  <c r="G74" i="177"/>
  <c r="P73" i="177"/>
  <c r="K73" i="177"/>
  <c r="I73" i="177"/>
  <c r="G73" i="177"/>
  <c r="P71" i="177"/>
  <c r="O71" i="177"/>
  <c r="K71" i="177"/>
  <c r="G71" i="177"/>
  <c r="P70" i="177"/>
  <c r="O70" i="177"/>
  <c r="N70" i="177"/>
  <c r="K70" i="177"/>
  <c r="G70" i="177"/>
  <c r="P69" i="177"/>
  <c r="O69" i="177"/>
  <c r="N69" i="177"/>
  <c r="K69" i="177"/>
  <c r="G69" i="177"/>
  <c r="N67" i="177"/>
  <c r="F66" i="177" a="1"/>
  <c r="F66" i="177" s="1"/>
  <c r="P65" i="177"/>
  <c r="K65" i="177"/>
  <c r="E65" i="177"/>
  <c r="O64" i="177"/>
  <c r="M64" i="177"/>
  <c r="L64" i="177"/>
  <c r="L65" i="177" s="1"/>
  <c r="K64" i="177"/>
  <c r="J64" i="177"/>
  <c r="H64" i="177"/>
  <c r="I64" i="177" s="1"/>
  <c r="E57" i="177"/>
  <c r="P57" i="177" s="1"/>
  <c r="O56" i="177"/>
  <c r="N56" i="177"/>
  <c r="L56" i="177"/>
  <c r="K56" i="177"/>
  <c r="H56" i="177"/>
  <c r="F56" i="177"/>
  <c r="P56" i="177" s="1"/>
  <c r="E56" i="177"/>
  <c r="O55" i="177"/>
  <c r="N55" i="177"/>
  <c r="L55" i="177"/>
  <c r="K55" i="177"/>
  <c r="H55" i="177"/>
  <c r="F55" i="177"/>
  <c r="P55" i="177" s="1"/>
  <c r="E55" i="177"/>
  <c r="O54" i="177"/>
  <c r="N54" i="177"/>
  <c r="L54" i="177"/>
  <c r="K54" i="177"/>
  <c r="H54" i="177"/>
  <c r="F54" i="177"/>
  <c r="P54" i="177" s="1"/>
  <c r="E54" i="177"/>
  <c r="O53" i="177"/>
  <c r="N53" i="177"/>
  <c r="L53" i="177"/>
  <c r="K53" i="177"/>
  <c r="H53" i="177"/>
  <c r="F53" i="177"/>
  <c r="P53" i="177" s="1"/>
  <c r="E53" i="177"/>
  <c r="O52" i="177"/>
  <c r="N52" i="177"/>
  <c r="L52" i="177"/>
  <c r="K52" i="177"/>
  <c r="H52" i="177"/>
  <c r="F52" i="177"/>
  <c r="P52" i="177" s="1"/>
  <c r="E52" i="177"/>
  <c r="O51" i="177"/>
  <c r="N51" i="177"/>
  <c r="L51" i="177"/>
  <c r="K51" i="177"/>
  <c r="H51" i="177"/>
  <c r="F51" i="177"/>
  <c r="P51" i="177" s="1"/>
  <c r="E51" i="177"/>
  <c r="O50" i="177"/>
  <c r="N50" i="177"/>
  <c r="L50" i="177"/>
  <c r="K50" i="177"/>
  <c r="H50" i="177"/>
  <c r="F50" i="177"/>
  <c r="P50" i="177" s="1"/>
  <c r="E50" i="177"/>
  <c r="O49" i="177"/>
  <c r="N49" i="177"/>
  <c r="L49" i="177"/>
  <c r="K49" i="177"/>
  <c r="H49" i="177"/>
  <c r="F49" i="177"/>
  <c r="P49" i="177" s="1"/>
  <c r="E49" i="177"/>
  <c r="O48" i="177"/>
  <c r="N48" i="177"/>
  <c r="L48" i="177"/>
  <c r="K48" i="177"/>
  <c r="H48" i="177"/>
  <c r="F48" i="177"/>
  <c r="P48" i="177" s="1"/>
  <c r="E48" i="177"/>
  <c r="O47" i="177"/>
  <c r="N47" i="177"/>
  <c r="L47" i="177"/>
  <c r="K47" i="177"/>
  <c r="H47" i="177"/>
  <c r="F47" i="177"/>
  <c r="P47" i="177" s="1"/>
  <c r="E47" i="177"/>
  <c r="O46" i="177"/>
  <c r="N46" i="177"/>
  <c r="L46" i="177"/>
  <c r="K46" i="177"/>
  <c r="H46" i="177"/>
  <c r="F46" i="177"/>
  <c r="P46" i="177" s="1"/>
  <c r="E46" i="177"/>
  <c r="O45" i="177"/>
  <c r="N45" i="177"/>
  <c r="L45" i="177"/>
  <c r="K45" i="177"/>
  <c r="H45" i="177"/>
  <c r="F45" i="177"/>
  <c r="P45" i="177" s="1"/>
  <c r="E45" i="177"/>
  <c r="O44" i="177"/>
  <c r="N44" i="177"/>
  <c r="L44" i="177"/>
  <c r="K44" i="177"/>
  <c r="H44" i="177"/>
  <c r="F44" i="177"/>
  <c r="P44" i="177" s="1"/>
  <c r="E44" i="177"/>
  <c r="O43" i="177"/>
  <c r="N43" i="177"/>
  <c r="L43" i="177"/>
  <c r="K43" i="177"/>
  <c r="H43" i="177"/>
  <c r="F43" i="177"/>
  <c r="P43" i="177" s="1"/>
  <c r="E43" i="177"/>
  <c r="O42" i="177"/>
  <c r="N42" i="177"/>
  <c r="L42" i="177"/>
  <c r="K42" i="177"/>
  <c r="H42" i="177"/>
  <c r="F42" i="177"/>
  <c r="P42" i="177" s="1"/>
  <c r="E42" i="177"/>
  <c r="O41" i="177"/>
  <c r="N41" i="177"/>
  <c r="L41" i="177"/>
  <c r="K41" i="177"/>
  <c r="H41" i="177"/>
  <c r="F41" i="177"/>
  <c r="P41" i="177" s="1"/>
  <c r="E41" i="177"/>
  <c r="O40" i="177"/>
  <c r="N40" i="177"/>
  <c r="L40" i="177"/>
  <c r="K40" i="177"/>
  <c r="H40" i="177"/>
  <c r="F40" i="177"/>
  <c r="P40" i="177" s="1"/>
  <c r="E40" i="177"/>
  <c r="O39" i="177"/>
  <c r="N39" i="177"/>
  <c r="L39" i="177"/>
  <c r="K39" i="177"/>
  <c r="H39" i="177"/>
  <c r="F39" i="177"/>
  <c r="P39" i="177" s="1"/>
  <c r="E39" i="177"/>
  <c r="O38" i="177"/>
  <c r="N38" i="177"/>
  <c r="L38" i="177"/>
  <c r="K38" i="177"/>
  <c r="H38" i="177"/>
  <c r="F38" i="177"/>
  <c r="P38" i="177" s="1"/>
  <c r="E38" i="177"/>
  <c r="O37" i="177"/>
  <c r="N37" i="177"/>
  <c r="L37" i="177"/>
  <c r="K37" i="177"/>
  <c r="H37" i="177"/>
  <c r="F37" i="177"/>
  <c r="P37" i="177" s="1"/>
  <c r="E37" i="177"/>
  <c r="O36" i="177"/>
  <c r="N36" i="177"/>
  <c r="L36" i="177"/>
  <c r="K36" i="177"/>
  <c r="H36" i="177"/>
  <c r="F36" i="177"/>
  <c r="P36" i="177" s="1"/>
  <c r="E36" i="177"/>
  <c r="O34" i="177"/>
  <c r="N34" i="177"/>
  <c r="K34" i="177"/>
  <c r="H34" i="177"/>
  <c r="F34" i="177"/>
  <c r="P34" i="177" s="1"/>
  <c r="E34" i="177"/>
  <c r="O33" i="177"/>
  <c r="N33" i="177"/>
  <c r="K33" i="177"/>
  <c r="H33" i="177"/>
  <c r="F33" i="177"/>
  <c r="P33" i="177" s="1"/>
  <c r="E33" i="177"/>
  <c r="O32" i="177"/>
  <c r="N32" i="177"/>
  <c r="K32" i="177"/>
  <c r="H32" i="177"/>
  <c r="F32" i="177"/>
  <c r="P32" i="177" s="1"/>
  <c r="E32" i="177"/>
  <c r="O31" i="177"/>
  <c r="N31" i="177"/>
  <c r="K31" i="177"/>
  <c r="H31" i="177"/>
  <c r="F31" i="177"/>
  <c r="P31" i="177" s="1"/>
  <c r="E31" i="177"/>
  <c r="O30" i="177"/>
  <c r="N30" i="177"/>
  <c r="K30" i="177"/>
  <c r="H30" i="177"/>
  <c r="F30" i="177"/>
  <c r="P30" i="177" s="1"/>
  <c r="E30" i="177"/>
  <c r="P28" i="177"/>
  <c r="J28" i="177"/>
  <c r="D28" i="177"/>
  <c r="L28" i="177" s="1"/>
  <c r="M28" i="177" s="1"/>
  <c r="C28" i="177"/>
  <c r="H28" i="177" s="1"/>
  <c r="I28" i="177" s="1"/>
  <c r="O28" i="177" s="1"/>
  <c r="A28" i="177"/>
  <c r="P27" i="177"/>
  <c r="J27" i="177"/>
  <c r="D27" i="177"/>
  <c r="L27" i="177" s="1"/>
  <c r="M27" i="177" s="1"/>
  <c r="C27" i="177"/>
  <c r="F27" i="177" s="1"/>
  <c r="A27" i="177"/>
  <c r="P26" i="177"/>
  <c r="J26" i="177"/>
  <c r="E26" i="177" a="1"/>
  <c r="E26" i="177" s="1"/>
  <c r="D26" i="177"/>
  <c r="L26" i="177" s="1"/>
  <c r="M26" i="177" s="1"/>
  <c r="C26" i="177"/>
  <c r="F26" i="177" s="1"/>
  <c r="P25" i="177"/>
  <c r="J25" i="177"/>
  <c r="E25" i="177" a="1"/>
  <c r="E25" i="177" s="1"/>
  <c r="D25" i="177"/>
  <c r="L25" i="177" s="1"/>
  <c r="M25" i="177" s="1"/>
  <c r="C25" i="177"/>
  <c r="F25" i="177" s="1"/>
  <c r="P24" i="177"/>
  <c r="J24" i="177"/>
  <c r="E24" i="177" a="1"/>
  <c r="E24" i="177" s="1"/>
  <c r="D24" i="177"/>
  <c r="L24" i="177" s="1"/>
  <c r="M24" i="177" s="1"/>
  <c r="C24" i="177"/>
  <c r="F24" i="177" s="1"/>
  <c r="P23" i="177"/>
  <c r="J23" i="177"/>
  <c r="E23" i="177" a="1"/>
  <c r="E23" i="177" s="1"/>
  <c r="D23" i="177"/>
  <c r="L23" i="177" s="1"/>
  <c r="M23" i="177" s="1"/>
  <c r="C23" i="177"/>
  <c r="F23" i="177" s="1"/>
  <c r="P22" i="177"/>
  <c r="J22" i="177"/>
  <c r="D22" i="177"/>
  <c r="L22" i="177" s="1"/>
  <c r="M22" i="177" s="1"/>
  <c r="C22" i="177"/>
  <c r="F22" i="177" s="1"/>
  <c r="P21" i="177"/>
  <c r="J21" i="177"/>
  <c r="D21" i="177"/>
  <c r="L21" i="177" s="1"/>
  <c r="M21" i="177" s="1"/>
  <c r="C21" i="177"/>
  <c r="F21" i="177" s="1"/>
  <c r="J20" i="177"/>
  <c r="D20" i="177"/>
  <c r="L20" i="177" s="1"/>
  <c r="M20" i="177" s="1"/>
  <c r="C20" i="177"/>
  <c r="F20" i="177" s="1"/>
  <c r="J19" i="177"/>
  <c r="D19" i="177"/>
  <c r="L19" i="177" s="1"/>
  <c r="M19" i="177" s="1"/>
  <c r="C19" i="177"/>
  <c r="F19" i="177" s="1"/>
  <c r="N17" i="177"/>
  <c r="E17" i="177"/>
  <c r="P17" i="177" s="1"/>
  <c r="P16" i="177"/>
  <c r="N16" i="177"/>
  <c r="E16" i="177"/>
  <c r="N15" i="177"/>
  <c r="J15" i="177"/>
  <c r="J16" i="177" s="1"/>
  <c r="E15" i="177"/>
  <c r="P15" i="177" s="1"/>
  <c r="P14" i="177"/>
  <c r="J14" i="177"/>
  <c r="U6" i="177" s="1"/>
  <c r="P13" i="177"/>
  <c r="O13" i="177"/>
  <c r="P11" i="177"/>
  <c r="J11" i="177"/>
  <c r="J10" i="177"/>
  <c r="E10" i="177"/>
  <c r="O9" i="177"/>
  <c r="J8" i="177"/>
  <c r="J9" i="177" s="1"/>
  <c r="S10" i="177" s="1"/>
  <c r="L7" i="177"/>
  <c r="F7" i="177"/>
  <c r="P5" i="177"/>
  <c r="P20" i="177" s="1"/>
  <c r="N5" i="177"/>
  <c r="M5" i="177"/>
  <c r="K5" i="177"/>
  <c r="J5" i="177"/>
  <c r="J13" i="177" s="1"/>
  <c r="N4" i="177"/>
  <c r="M4" i="177"/>
  <c r="J4" i="177"/>
  <c r="F4" i="177"/>
  <c r="E4" i="177"/>
  <c r="E5" i="177" s="1"/>
  <c r="P92" i="185" l="1"/>
  <c r="M11" i="177"/>
  <c r="S6" i="177" s="1"/>
  <c r="H26" i="177"/>
  <c r="I26" i="177" s="1"/>
  <c r="O26" i="177" s="1"/>
  <c r="E64" i="177"/>
  <c r="E22" i="177" a="1"/>
  <c r="E22" i="177" s="1"/>
  <c r="L66" i="177"/>
  <c r="L67" i="177" s="1"/>
  <c r="P64" i="177"/>
  <c r="P91" i="177" s="1"/>
  <c r="Z6" i="177" s="1"/>
  <c r="P2" i="177" s="1"/>
  <c r="J67" i="177"/>
  <c r="H24" i="177"/>
  <c r="I24" i="177" s="1"/>
  <c r="O24" i="177" s="1"/>
  <c r="H66" i="177"/>
  <c r="P66" i="177" s="1" a="1"/>
  <c r="P66" i="177" s="1"/>
  <c r="E21" i="177" a="1"/>
  <c r="E21" i="177" s="1"/>
  <c r="P67" i="177"/>
  <c r="H22" i="177"/>
  <c r="I22" i="177" s="1"/>
  <c r="O22" i="177" s="1"/>
  <c r="A7" i="177"/>
  <c r="N7" i="177"/>
  <c r="S11" i="177" s="1"/>
  <c r="H20" i="177"/>
  <c r="I20" i="177" s="1"/>
  <c r="O20" i="177" s="1"/>
  <c r="P8" i="177"/>
  <c r="P10" i="177"/>
  <c r="P19" i="177"/>
  <c r="E9" i="177"/>
  <c r="P9" i="177" s="1"/>
  <c r="K14" i="177"/>
  <c r="E19" i="177" a="1"/>
  <c r="E19" i="177" s="1"/>
  <c r="J7" i="177"/>
  <c r="E20" i="177" a="1"/>
  <c r="E20" i="177" s="1"/>
  <c r="E7" i="177" a="1"/>
  <c r="E7" i="177" s="1"/>
  <c r="P7" i="177" s="1" a="1"/>
  <c r="P7" i="177" s="1"/>
  <c r="F28" i="177"/>
  <c r="H19" i="177"/>
  <c r="S9" i="177" s="1"/>
  <c r="H21" i="177"/>
  <c r="I21" i="177" s="1"/>
  <c r="O21" i="177" s="1"/>
  <c r="H23" i="177"/>
  <c r="I23" i="177" s="1"/>
  <c r="O23" i="177" s="1"/>
  <c r="H25" i="177"/>
  <c r="I25" i="177" s="1"/>
  <c r="O25" i="177" s="1"/>
  <c r="H27" i="177"/>
  <c r="I27" i="177" s="1"/>
  <c r="O27" i="177" s="1"/>
  <c r="N42" i="171"/>
  <c r="O42" i="171"/>
  <c r="N43" i="171"/>
  <c r="O43" i="171"/>
  <c r="N44" i="171"/>
  <c r="O44" i="171"/>
  <c r="N45" i="171"/>
  <c r="O45" i="171"/>
  <c r="N46" i="171"/>
  <c r="O46" i="171"/>
  <c r="N47" i="171"/>
  <c r="O47" i="171"/>
  <c r="N48" i="171"/>
  <c r="O48" i="171"/>
  <c r="N49" i="171"/>
  <c r="O49" i="171"/>
  <c r="N50" i="171"/>
  <c r="O50" i="171"/>
  <c r="N51" i="171"/>
  <c r="O51" i="171"/>
  <c r="N52" i="171"/>
  <c r="O52" i="171"/>
  <c r="N53" i="171"/>
  <c r="O53" i="171"/>
  <c r="N54" i="171"/>
  <c r="O54" i="171"/>
  <c r="N55" i="171"/>
  <c r="O55" i="171"/>
  <c r="N56" i="171"/>
  <c r="O56" i="171"/>
  <c r="H42" i="171"/>
  <c r="H43" i="171"/>
  <c r="H44" i="171"/>
  <c r="H45" i="171"/>
  <c r="H46" i="171"/>
  <c r="H47" i="171"/>
  <c r="H48" i="171"/>
  <c r="H49" i="171"/>
  <c r="H50" i="171"/>
  <c r="H51" i="171"/>
  <c r="H52" i="171"/>
  <c r="H53" i="171"/>
  <c r="H54" i="171"/>
  <c r="H55" i="171"/>
  <c r="F42" i="171"/>
  <c r="P42" i="171" s="1"/>
  <c r="F43" i="171"/>
  <c r="P43" i="171" s="1"/>
  <c r="F44" i="171"/>
  <c r="P44" i="171" s="1"/>
  <c r="F45" i="171"/>
  <c r="P45" i="171" s="1"/>
  <c r="F46" i="171"/>
  <c r="P46" i="171" s="1"/>
  <c r="F47" i="171"/>
  <c r="P47" i="171" s="1"/>
  <c r="F48" i="171"/>
  <c r="P48" i="171" s="1"/>
  <c r="F49" i="171"/>
  <c r="P49" i="171" s="1"/>
  <c r="F50" i="171"/>
  <c r="P50" i="171" s="1"/>
  <c r="F51" i="171"/>
  <c r="P51" i="171" s="1"/>
  <c r="F52" i="171"/>
  <c r="P52" i="171" s="1"/>
  <c r="F53" i="171"/>
  <c r="P53" i="171" s="1"/>
  <c r="F54" i="171"/>
  <c r="P54" i="171" s="1"/>
  <c r="F55" i="171"/>
  <c r="P55" i="171" s="1"/>
  <c r="N42" i="172"/>
  <c r="O42" i="172"/>
  <c r="N43" i="172"/>
  <c r="O43" i="172"/>
  <c r="N44" i="172"/>
  <c r="O44" i="172"/>
  <c r="N45" i="172"/>
  <c r="O45" i="172"/>
  <c r="N46" i="172"/>
  <c r="O46" i="172"/>
  <c r="N47" i="172"/>
  <c r="O47" i="172"/>
  <c r="N48" i="172"/>
  <c r="O48" i="172"/>
  <c r="N49" i="172"/>
  <c r="O49" i="172"/>
  <c r="N50" i="172"/>
  <c r="O50" i="172"/>
  <c r="N51" i="172"/>
  <c r="O51" i="172"/>
  <c r="N52" i="172"/>
  <c r="O52" i="172"/>
  <c r="N53" i="172"/>
  <c r="O53" i="172"/>
  <c r="N54" i="172"/>
  <c r="O54" i="172"/>
  <c r="N55" i="172"/>
  <c r="O55" i="172"/>
  <c r="N56" i="172"/>
  <c r="O56" i="172"/>
  <c r="H42" i="172"/>
  <c r="H43" i="172"/>
  <c r="H44" i="172"/>
  <c r="H45" i="172"/>
  <c r="H46" i="172"/>
  <c r="H47" i="172"/>
  <c r="H48" i="172"/>
  <c r="H49" i="172"/>
  <c r="H50" i="172"/>
  <c r="H51" i="172"/>
  <c r="H52" i="172"/>
  <c r="H53" i="172"/>
  <c r="H54" i="172"/>
  <c r="H55" i="172"/>
  <c r="F42" i="172"/>
  <c r="P42" i="172" s="1"/>
  <c r="F43" i="172"/>
  <c r="P43" i="172" s="1"/>
  <c r="F44" i="172"/>
  <c r="P44" i="172" s="1"/>
  <c r="F45" i="172"/>
  <c r="P45" i="172" s="1"/>
  <c r="F46" i="172"/>
  <c r="P46" i="172" s="1"/>
  <c r="F47" i="172"/>
  <c r="P47" i="172" s="1"/>
  <c r="F48" i="172"/>
  <c r="P48" i="172" s="1"/>
  <c r="F49" i="172"/>
  <c r="P49" i="172" s="1"/>
  <c r="F50" i="172"/>
  <c r="P50" i="172" s="1"/>
  <c r="F51" i="172"/>
  <c r="P51" i="172" s="1"/>
  <c r="F52" i="172"/>
  <c r="P52" i="172" s="1"/>
  <c r="F53" i="172"/>
  <c r="P53" i="172" s="1"/>
  <c r="F54" i="172"/>
  <c r="P54" i="172" s="1"/>
  <c r="F55" i="172"/>
  <c r="P55" i="172" s="1"/>
  <c r="N42" i="175"/>
  <c r="O42" i="175"/>
  <c r="N43" i="175"/>
  <c r="O43" i="175"/>
  <c r="N44" i="175"/>
  <c r="O44" i="175"/>
  <c r="N45" i="175"/>
  <c r="O45" i="175"/>
  <c r="N46" i="175"/>
  <c r="O46" i="175"/>
  <c r="N47" i="175"/>
  <c r="O47" i="175"/>
  <c r="N48" i="175"/>
  <c r="O48" i="175"/>
  <c r="N49" i="175"/>
  <c r="O49" i="175"/>
  <c r="N50" i="175"/>
  <c r="O50" i="175"/>
  <c r="N51" i="175"/>
  <c r="O51" i="175"/>
  <c r="N52" i="175"/>
  <c r="O52" i="175"/>
  <c r="N53" i="175"/>
  <c r="O53" i="175"/>
  <c r="N54" i="175"/>
  <c r="O54" i="175"/>
  <c r="N55" i="175"/>
  <c r="O55" i="175"/>
  <c r="N56" i="175"/>
  <c r="O56" i="175"/>
  <c r="H42" i="175"/>
  <c r="H43" i="175"/>
  <c r="H44" i="175"/>
  <c r="H45" i="175"/>
  <c r="H46" i="175"/>
  <c r="H47" i="175"/>
  <c r="H48" i="175"/>
  <c r="H49" i="175"/>
  <c r="H50" i="175"/>
  <c r="H51" i="175"/>
  <c r="H52" i="175"/>
  <c r="H53" i="175"/>
  <c r="H54" i="175"/>
  <c r="H55" i="175"/>
  <c r="F42" i="175"/>
  <c r="P42" i="175" s="1"/>
  <c r="F43" i="175"/>
  <c r="P43" i="175" s="1"/>
  <c r="F44" i="175"/>
  <c r="P44" i="175" s="1"/>
  <c r="F45" i="175"/>
  <c r="P45" i="175" s="1"/>
  <c r="F46" i="175"/>
  <c r="P46" i="175" s="1"/>
  <c r="F47" i="175"/>
  <c r="P47" i="175" s="1"/>
  <c r="F48" i="175"/>
  <c r="P48" i="175" s="1"/>
  <c r="F49" i="175"/>
  <c r="P49" i="175" s="1"/>
  <c r="F50" i="175"/>
  <c r="P50" i="175" s="1"/>
  <c r="F51" i="175"/>
  <c r="P51" i="175" s="1"/>
  <c r="F52" i="175"/>
  <c r="P52" i="175" s="1"/>
  <c r="F53" i="175"/>
  <c r="P53" i="175" s="1"/>
  <c r="F54" i="175"/>
  <c r="P54" i="175" s="1"/>
  <c r="F55" i="175"/>
  <c r="P55" i="175" s="1"/>
  <c r="N42" i="176"/>
  <c r="O42" i="176"/>
  <c r="N43" i="176"/>
  <c r="O43" i="176"/>
  <c r="N44" i="176"/>
  <c r="O44" i="176"/>
  <c r="N45" i="176"/>
  <c r="O45" i="176"/>
  <c r="N46" i="176"/>
  <c r="O46" i="176"/>
  <c r="N47" i="176"/>
  <c r="O47" i="176"/>
  <c r="N48" i="176"/>
  <c r="O48" i="176"/>
  <c r="N49" i="176"/>
  <c r="O49" i="176"/>
  <c r="N50" i="176"/>
  <c r="O50" i="176"/>
  <c r="N51" i="176"/>
  <c r="O51" i="176"/>
  <c r="N52" i="176"/>
  <c r="O52" i="176"/>
  <c r="N53" i="176"/>
  <c r="O53" i="176"/>
  <c r="N54" i="176"/>
  <c r="O54" i="176"/>
  <c r="N55" i="176"/>
  <c r="O55" i="176"/>
  <c r="N56" i="176"/>
  <c r="O56" i="176"/>
  <c r="H42" i="176"/>
  <c r="H43" i="176"/>
  <c r="H44" i="176"/>
  <c r="H45" i="176"/>
  <c r="H46" i="176"/>
  <c r="H47" i="176"/>
  <c r="H48" i="176"/>
  <c r="H49" i="176"/>
  <c r="H50" i="176"/>
  <c r="H51" i="176"/>
  <c r="H52" i="176"/>
  <c r="H53" i="176"/>
  <c r="K46" i="172"/>
  <c r="E46" i="172"/>
  <c r="K42" i="176"/>
  <c r="K43" i="176"/>
  <c r="F42" i="176"/>
  <c r="P42" i="176" s="1"/>
  <c r="F43" i="176"/>
  <c r="P43" i="176" s="1"/>
  <c r="E42" i="176"/>
  <c r="E43" i="176"/>
  <c r="W6" i="177" l="1"/>
  <c r="P92" i="186"/>
  <c r="P92" i="184"/>
  <c r="P92" i="183"/>
  <c r="I66" i="177"/>
  <c r="O73" i="177" s="1"/>
  <c r="S12" i="177"/>
  <c r="E2" i="177"/>
  <c r="I19" i="177"/>
  <c r="O19" i="177" s="1"/>
  <c r="L43" i="171"/>
  <c r="K43" i="171"/>
  <c r="E43" i="171"/>
  <c r="L42" i="171"/>
  <c r="K42" i="171"/>
  <c r="E42" i="171"/>
  <c r="S7" i="177" l="1"/>
  <c r="H39" i="148"/>
  <c r="P92" i="177" l="1"/>
  <c r="P90" i="176"/>
  <c r="O90" i="176"/>
  <c r="K90" i="176"/>
  <c r="I90" i="176"/>
  <c r="G90" i="176"/>
  <c r="P89" i="176"/>
  <c r="O89" i="176"/>
  <c r="K89" i="176"/>
  <c r="I89" i="176"/>
  <c r="G89" i="176"/>
  <c r="P88" i="176"/>
  <c r="O88" i="176"/>
  <c r="K88" i="176"/>
  <c r="I88" i="176"/>
  <c r="G88" i="176"/>
  <c r="P87" i="176"/>
  <c r="O87" i="176"/>
  <c r="K87" i="176"/>
  <c r="I87" i="176"/>
  <c r="G87" i="176"/>
  <c r="P86" i="176"/>
  <c r="O86" i="176"/>
  <c r="K86" i="176"/>
  <c r="I86" i="176"/>
  <c r="G86" i="176"/>
  <c r="P85" i="176"/>
  <c r="O85" i="176"/>
  <c r="K85" i="176"/>
  <c r="I85" i="176"/>
  <c r="G85" i="176"/>
  <c r="P84" i="176"/>
  <c r="O84" i="176"/>
  <c r="K84" i="176"/>
  <c r="I84" i="176"/>
  <c r="G84" i="176"/>
  <c r="P83" i="176"/>
  <c r="O83" i="176"/>
  <c r="K83" i="176"/>
  <c r="I83" i="176"/>
  <c r="G83" i="176"/>
  <c r="P82" i="176"/>
  <c r="O82" i="176"/>
  <c r="K82" i="176"/>
  <c r="I82" i="176"/>
  <c r="G82" i="176"/>
  <c r="P81" i="176"/>
  <c r="O81" i="176"/>
  <c r="K81" i="176"/>
  <c r="I81" i="176"/>
  <c r="G81" i="176"/>
  <c r="P80" i="176"/>
  <c r="O80" i="176"/>
  <c r="K80" i="176"/>
  <c r="I80" i="176"/>
  <c r="G80" i="176"/>
  <c r="P79" i="176"/>
  <c r="O79" i="176"/>
  <c r="K79" i="176"/>
  <c r="I79" i="176"/>
  <c r="G79" i="176"/>
  <c r="P78" i="176"/>
  <c r="O78" i="176"/>
  <c r="K78" i="176"/>
  <c r="I78" i="176"/>
  <c r="G78" i="176"/>
  <c r="P77" i="176"/>
  <c r="O77" i="176"/>
  <c r="K77" i="176"/>
  <c r="I77" i="176"/>
  <c r="G77" i="176"/>
  <c r="P76" i="176"/>
  <c r="O76" i="176"/>
  <c r="K76" i="176"/>
  <c r="I76" i="176"/>
  <c r="G76" i="176"/>
  <c r="P75" i="176"/>
  <c r="O75" i="176"/>
  <c r="K75" i="176"/>
  <c r="I75" i="176"/>
  <c r="G75" i="176"/>
  <c r="P74" i="176"/>
  <c r="O74" i="176"/>
  <c r="K74" i="176"/>
  <c r="I74" i="176"/>
  <c r="G74" i="176"/>
  <c r="P73" i="176"/>
  <c r="K73" i="176"/>
  <c r="I73" i="176"/>
  <c r="G73" i="176"/>
  <c r="P71" i="176"/>
  <c r="O71" i="176"/>
  <c r="K71" i="176"/>
  <c r="G71" i="176"/>
  <c r="P70" i="176"/>
  <c r="O70" i="176"/>
  <c r="N70" i="176"/>
  <c r="K70" i="176"/>
  <c r="G70" i="176"/>
  <c r="P69" i="176"/>
  <c r="O69" i="176"/>
  <c r="N69" i="176"/>
  <c r="K69" i="176"/>
  <c r="G69" i="176"/>
  <c r="N67" i="176"/>
  <c r="F66" i="176" a="1"/>
  <c r="F66" i="176" s="1"/>
  <c r="P65" i="176"/>
  <c r="K65" i="176"/>
  <c r="E65" i="176"/>
  <c r="O64" i="176"/>
  <c r="M64" i="176"/>
  <c r="L64" i="176"/>
  <c r="K64" i="176"/>
  <c r="J64" i="176"/>
  <c r="H64" i="176"/>
  <c r="E57" i="176"/>
  <c r="P57" i="176" s="1"/>
  <c r="L56" i="176"/>
  <c r="K56" i="176"/>
  <c r="H56" i="176"/>
  <c r="F56" i="176"/>
  <c r="P56" i="176" s="1"/>
  <c r="E56" i="176"/>
  <c r="L55" i="176"/>
  <c r="K55" i="176"/>
  <c r="H55" i="176"/>
  <c r="F55" i="176"/>
  <c r="P55" i="176" s="1"/>
  <c r="E55" i="176"/>
  <c r="L54" i="176"/>
  <c r="K54" i="176"/>
  <c r="H54" i="176"/>
  <c r="F54" i="176"/>
  <c r="P54" i="176" s="1"/>
  <c r="E54" i="176"/>
  <c r="L53" i="176"/>
  <c r="K53" i="176"/>
  <c r="F53" i="176"/>
  <c r="P53" i="176" s="1"/>
  <c r="E53" i="176"/>
  <c r="L52" i="176"/>
  <c r="K52" i="176"/>
  <c r="F52" i="176"/>
  <c r="P52" i="176" s="1"/>
  <c r="E52" i="176"/>
  <c r="L51" i="176"/>
  <c r="K51" i="176"/>
  <c r="F51" i="176"/>
  <c r="P51" i="176" s="1"/>
  <c r="E51" i="176"/>
  <c r="L50" i="176"/>
  <c r="K50" i="176"/>
  <c r="F50" i="176"/>
  <c r="P50" i="176" s="1"/>
  <c r="E50" i="176"/>
  <c r="L49" i="176"/>
  <c r="K49" i="176"/>
  <c r="F49" i="176"/>
  <c r="P49" i="176" s="1"/>
  <c r="E49" i="176"/>
  <c r="L48" i="176"/>
  <c r="K48" i="176"/>
  <c r="F48" i="176"/>
  <c r="P48" i="176" s="1"/>
  <c r="E48" i="176"/>
  <c r="L47" i="176"/>
  <c r="K47" i="176"/>
  <c r="F47" i="176"/>
  <c r="P47" i="176" s="1"/>
  <c r="E47" i="176"/>
  <c r="L46" i="176"/>
  <c r="K46" i="176"/>
  <c r="F46" i="176"/>
  <c r="P46" i="176" s="1"/>
  <c r="E46" i="176"/>
  <c r="L45" i="176"/>
  <c r="K45" i="176"/>
  <c r="F45" i="176"/>
  <c r="P45" i="176" s="1"/>
  <c r="E45" i="176"/>
  <c r="L44" i="176"/>
  <c r="K44" i="176"/>
  <c r="F44" i="176"/>
  <c r="P44" i="176" s="1"/>
  <c r="E44" i="176"/>
  <c r="O41" i="176"/>
  <c r="N41" i="176"/>
  <c r="L41" i="176"/>
  <c r="K41" i="176"/>
  <c r="H41" i="176"/>
  <c r="F41" i="176"/>
  <c r="P41" i="176" s="1"/>
  <c r="E41" i="176"/>
  <c r="O40" i="176"/>
  <c r="N40" i="176"/>
  <c r="L40" i="176"/>
  <c r="K40" i="176"/>
  <c r="H40" i="176"/>
  <c r="F40" i="176"/>
  <c r="P40" i="176" s="1"/>
  <c r="E40" i="176"/>
  <c r="O39" i="176"/>
  <c r="N39" i="176"/>
  <c r="L39" i="176"/>
  <c r="K39" i="176"/>
  <c r="H39" i="176"/>
  <c r="F39" i="176"/>
  <c r="P39" i="176" s="1"/>
  <c r="E39" i="176"/>
  <c r="O38" i="176"/>
  <c r="N38" i="176"/>
  <c r="L38" i="176"/>
  <c r="K38" i="176"/>
  <c r="H38" i="176"/>
  <c r="F38" i="176"/>
  <c r="P38" i="176" s="1"/>
  <c r="E38" i="176"/>
  <c r="O37" i="176"/>
  <c r="N37" i="176"/>
  <c r="L37" i="176"/>
  <c r="K37" i="176"/>
  <c r="H37" i="176"/>
  <c r="F37" i="176"/>
  <c r="P37" i="176" s="1"/>
  <c r="E37" i="176"/>
  <c r="O36" i="176"/>
  <c r="N36" i="176"/>
  <c r="L36" i="176"/>
  <c r="K36" i="176"/>
  <c r="H36" i="176"/>
  <c r="F36" i="176"/>
  <c r="P36" i="176" s="1"/>
  <c r="E36" i="176"/>
  <c r="O34" i="176"/>
  <c r="N34" i="176"/>
  <c r="K34" i="176"/>
  <c r="H34" i="176"/>
  <c r="F34" i="176"/>
  <c r="P34" i="176" s="1"/>
  <c r="E34" i="176"/>
  <c r="O33" i="176"/>
  <c r="N33" i="176"/>
  <c r="K33" i="176"/>
  <c r="H33" i="176"/>
  <c r="F33" i="176"/>
  <c r="P33" i="176" s="1"/>
  <c r="E33" i="176"/>
  <c r="O32" i="176"/>
  <c r="N32" i="176"/>
  <c r="K32" i="176"/>
  <c r="H32" i="176"/>
  <c r="F32" i="176"/>
  <c r="P32" i="176" s="1"/>
  <c r="E32" i="176"/>
  <c r="O31" i="176"/>
  <c r="N31" i="176"/>
  <c r="K31" i="176"/>
  <c r="H31" i="176"/>
  <c r="F31" i="176"/>
  <c r="P31" i="176" s="1"/>
  <c r="E31" i="176"/>
  <c r="O30" i="176"/>
  <c r="N30" i="176"/>
  <c r="K30" i="176"/>
  <c r="H30" i="176"/>
  <c r="F30" i="176"/>
  <c r="P30" i="176" s="1"/>
  <c r="E30" i="176"/>
  <c r="P28" i="176"/>
  <c r="J28" i="176"/>
  <c r="D28" i="176"/>
  <c r="L28" i="176" s="1"/>
  <c r="M28" i="176" s="1"/>
  <c r="C28" i="176"/>
  <c r="F28" i="176" s="1"/>
  <c r="A28" i="176"/>
  <c r="P27" i="176"/>
  <c r="J27" i="176"/>
  <c r="D27" i="176"/>
  <c r="L27" i="176" s="1"/>
  <c r="M27" i="176" s="1"/>
  <c r="C27" i="176"/>
  <c r="H27" i="176" s="1"/>
  <c r="I27" i="176" s="1"/>
  <c r="O27" i="176" s="1"/>
  <c r="A27" i="176"/>
  <c r="P26" i="176"/>
  <c r="J26" i="176"/>
  <c r="E26" i="176" a="1"/>
  <c r="E26" i="176" s="1"/>
  <c r="D26" i="176"/>
  <c r="L26" i="176" s="1"/>
  <c r="M26" i="176" s="1"/>
  <c r="C26" i="176"/>
  <c r="H26" i="176" s="1"/>
  <c r="I26" i="176" s="1"/>
  <c r="O26" i="176" s="1"/>
  <c r="P25" i="176"/>
  <c r="J25" i="176"/>
  <c r="E25" i="176" a="1"/>
  <c r="E25" i="176" s="1"/>
  <c r="D25" i="176"/>
  <c r="L25" i="176" s="1"/>
  <c r="M25" i="176" s="1"/>
  <c r="C25" i="176"/>
  <c r="H25" i="176" s="1"/>
  <c r="I25" i="176" s="1"/>
  <c r="O25" i="176" s="1"/>
  <c r="P24" i="176"/>
  <c r="J24" i="176"/>
  <c r="E24" i="176" a="1"/>
  <c r="E24" i="176" s="1"/>
  <c r="D24" i="176"/>
  <c r="L24" i="176" s="1"/>
  <c r="M24" i="176" s="1"/>
  <c r="C24" i="176"/>
  <c r="H24" i="176" s="1"/>
  <c r="I24" i="176" s="1"/>
  <c r="O24" i="176" s="1"/>
  <c r="P23" i="176"/>
  <c r="J23" i="176"/>
  <c r="E23" i="176" a="1"/>
  <c r="E23" i="176" s="1"/>
  <c r="D23" i="176"/>
  <c r="L23" i="176" s="1"/>
  <c r="M23" i="176" s="1"/>
  <c r="C23" i="176"/>
  <c r="H23" i="176" s="1"/>
  <c r="I23" i="176" s="1"/>
  <c r="O23" i="176" s="1"/>
  <c r="P22" i="176"/>
  <c r="J22" i="176"/>
  <c r="E22" i="176" a="1"/>
  <c r="E22" i="176" s="1"/>
  <c r="D22" i="176"/>
  <c r="L22" i="176" s="1"/>
  <c r="M22" i="176" s="1"/>
  <c r="C22" i="176"/>
  <c r="H22" i="176" s="1"/>
  <c r="I22" i="176" s="1"/>
  <c r="O22" i="176" s="1"/>
  <c r="P21" i="176"/>
  <c r="J21" i="176"/>
  <c r="E21" i="176" a="1"/>
  <c r="E21" i="176" s="1"/>
  <c r="D21" i="176"/>
  <c r="L21" i="176" s="1"/>
  <c r="M21" i="176" s="1"/>
  <c r="C21" i="176"/>
  <c r="H21" i="176" s="1"/>
  <c r="I21" i="176" s="1"/>
  <c r="O21" i="176" s="1"/>
  <c r="J20" i="176"/>
  <c r="D20" i="176"/>
  <c r="L20" i="176" s="1"/>
  <c r="M20" i="176" s="1"/>
  <c r="C20" i="176"/>
  <c r="H20" i="176" s="1"/>
  <c r="I20" i="176" s="1"/>
  <c r="O20" i="176" s="1"/>
  <c r="J19" i="176"/>
  <c r="D19" i="176"/>
  <c r="L19" i="176" s="1"/>
  <c r="M19" i="176" s="1"/>
  <c r="C19" i="176"/>
  <c r="H19" i="176" s="1"/>
  <c r="N17" i="176"/>
  <c r="E17" i="176"/>
  <c r="P17" i="176" s="1"/>
  <c r="P16" i="176"/>
  <c r="N16" i="176"/>
  <c r="E16" i="176"/>
  <c r="N15" i="176"/>
  <c r="J15" i="176"/>
  <c r="J16" i="176" s="1"/>
  <c r="E15" i="176"/>
  <c r="P15" i="176" s="1"/>
  <c r="J14" i="176"/>
  <c r="U6" i="176" s="1"/>
  <c r="P13" i="176"/>
  <c r="O13" i="176"/>
  <c r="P11" i="176"/>
  <c r="J11" i="176"/>
  <c r="J10" i="176"/>
  <c r="E10" i="176"/>
  <c r="O9" i="176"/>
  <c r="J8" i="176"/>
  <c r="J9" i="176" s="1"/>
  <c r="S10" i="176" s="1"/>
  <c r="L7" i="176"/>
  <c r="F7" i="176"/>
  <c r="P5" i="176"/>
  <c r="P10" i="176" s="1"/>
  <c r="N5" i="176"/>
  <c r="M5" i="176"/>
  <c r="K5" i="176"/>
  <c r="J5" i="176"/>
  <c r="J13" i="176" s="1"/>
  <c r="N4" i="176"/>
  <c r="M4" i="176"/>
  <c r="J4" i="176"/>
  <c r="F4" i="176"/>
  <c r="E4" i="176"/>
  <c r="E5" i="176" s="1"/>
  <c r="P90" i="175"/>
  <c r="O90" i="175"/>
  <c r="K90" i="175"/>
  <c r="I90" i="175"/>
  <c r="G90" i="175"/>
  <c r="P89" i="175"/>
  <c r="O89" i="175"/>
  <c r="K89" i="175"/>
  <c r="I89" i="175"/>
  <c r="G89" i="175"/>
  <c r="P88" i="175"/>
  <c r="O88" i="175"/>
  <c r="K88" i="175"/>
  <c r="I88" i="175"/>
  <c r="G88" i="175"/>
  <c r="P87" i="175"/>
  <c r="O87" i="175"/>
  <c r="K87" i="175"/>
  <c r="I87" i="175"/>
  <c r="G87" i="175"/>
  <c r="P86" i="175"/>
  <c r="O86" i="175"/>
  <c r="K86" i="175"/>
  <c r="I86" i="175"/>
  <c r="G86" i="175"/>
  <c r="P85" i="175"/>
  <c r="O85" i="175"/>
  <c r="K85" i="175"/>
  <c r="I85" i="175"/>
  <c r="G85" i="175"/>
  <c r="P84" i="175"/>
  <c r="O84" i="175"/>
  <c r="K84" i="175"/>
  <c r="I84" i="175"/>
  <c r="G84" i="175"/>
  <c r="P83" i="175"/>
  <c r="O83" i="175"/>
  <c r="K83" i="175"/>
  <c r="I83" i="175"/>
  <c r="G83" i="175"/>
  <c r="P82" i="175"/>
  <c r="O82" i="175"/>
  <c r="K82" i="175"/>
  <c r="I82" i="175"/>
  <c r="G82" i="175"/>
  <c r="P81" i="175"/>
  <c r="O81" i="175"/>
  <c r="K81" i="175"/>
  <c r="I81" i="175"/>
  <c r="G81" i="175"/>
  <c r="P80" i="175"/>
  <c r="O80" i="175"/>
  <c r="K80" i="175"/>
  <c r="I80" i="175"/>
  <c r="G80" i="175"/>
  <c r="P79" i="175"/>
  <c r="O79" i="175"/>
  <c r="K79" i="175"/>
  <c r="I79" i="175"/>
  <c r="G79" i="175"/>
  <c r="P78" i="175"/>
  <c r="O78" i="175"/>
  <c r="K78" i="175"/>
  <c r="I78" i="175"/>
  <c r="G78" i="175"/>
  <c r="P77" i="175"/>
  <c r="O77" i="175"/>
  <c r="K77" i="175"/>
  <c r="I77" i="175"/>
  <c r="G77" i="175"/>
  <c r="P76" i="175"/>
  <c r="O76" i="175"/>
  <c r="K76" i="175"/>
  <c r="I76" i="175"/>
  <c r="G76" i="175"/>
  <c r="P75" i="175"/>
  <c r="O75" i="175"/>
  <c r="K75" i="175"/>
  <c r="I75" i="175"/>
  <c r="G75" i="175"/>
  <c r="P74" i="175"/>
  <c r="O74" i="175"/>
  <c r="K74" i="175"/>
  <c r="I74" i="175"/>
  <c r="G74" i="175"/>
  <c r="P73" i="175"/>
  <c r="K73" i="175"/>
  <c r="I73" i="175"/>
  <c r="G73" i="175"/>
  <c r="P71" i="175"/>
  <c r="O71" i="175"/>
  <c r="K71" i="175"/>
  <c r="G71" i="175"/>
  <c r="P70" i="175"/>
  <c r="O70" i="175"/>
  <c r="N70" i="175"/>
  <c r="K70" i="175"/>
  <c r="G70" i="175"/>
  <c r="P69" i="175"/>
  <c r="O69" i="175"/>
  <c r="N69" i="175"/>
  <c r="K69" i="175"/>
  <c r="G69" i="175"/>
  <c r="N67" i="175"/>
  <c r="F66" i="175" a="1"/>
  <c r="F66" i="175" s="1"/>
  <c r="P65" i="175"/>
  <c r="K65" i="175"/>
  <c r="E65" i="175"/>
  <c r="O64" i="175"/>
  <c r="M64" i="175"/>
  <c r="L64" i="175"/>
  <c r="L65" i="175" s="1"/>
  <c r="K64" i="175"/>
  <c r="J64" i="175"/>
  <c r="H64" i="175"/>
  <c r="E57" i="175"/>
  <c r="P57" i="175" s="1"/>
  <c r="L56" i="175"/>
  <c r="K56" i="175"/>
  <c r="H56" i="175"/>
  <c r="F56" i="175"/>
  <c r="P56" i="175" s="1"/>
  <c r="E56" i="175"/>
  <c r="L55" i="175"/>
  <c r="K55" i="175"/>
  <c r="E55" i="175"/>
  <c r="L54" i="175"/>
  <c r="K54" i="175"/>
  <c r="E54" i="175"/>
  <c r="L53" i="175"/>
  <c r="K53" i="175"/>
  <c r="E53" i="175"/>
  <c r="L52" i="175"/>
  <c r="K52" i="175"/>
  <c r="E52" i="175"/>
  <c r="L51" i="175"/>
  <c r="K51" i="175"/>
  <c r="E51" i="175"/>
  <c r="L50" i="175"/>
  <c r="K50" i="175"/>
  <c r="E50" i="175"/>
  <c r="L49" i="175"/>
  <c r="K49" i="175"/>
  <c r="E49" i="175"/>
  <c r="L48" i="175"/>
  <c r="K48" i="175"/>
  <c r="E48" i="175"/>
  <c r="L47" i="175"/>
  <c r="K47" i="175"/>
  <c r="E47" i="175"/>
  <c r="L46" i="175"/>
  <c r="K46" i="175"/>
  <c r="E46" i="175"/>
  <c r="L45" i="175"/>
  <c r="K45" i="175"/>
  <c r="E45" i="175"/>
  <c r="L44" i="175"/>
  <c r="K44" i="175"/>
  <c r="E44" i="175"/>
  <c r="L43" i="175"/>
  <c r="K43" i="175"/>
  <c r="E43" i="175"/>
  <c r="L42" i="175"/>
  <c r="K42" i="175"/>
  <c r="E42" i="175"/>
  <c r="O41" i="175"/>
  <c r="N41" i="175"/>
  <c r="L41" i="175"/>
  <c r="K41" i="175"/>
  <c r="H41" i="175"/>
  <c r="F41" i="175"/>
  <c r="P41" i="175" s="1"/>
  <c r="E41" i="175"/>
  <c r="O40" i="175"/>
  <c r="N40" i="175"/>
  <c r="L40" i="175"/>
  <c r="K40" i="175"/>
  <c r="H40" i="175"/>
  <c r="F40" i="175"/>
  <c r="P40" i="175" s="1"/>
  <c r="E40" i="175"/>
  <c r="O39" i="175"/>
  <c r="N39" i="175"/>
  <c r="L39" i="175"/>
  <c r="K39" i="175"/>
  <c r="H39" i="175"/>
  <c r="F39" i="175"/>
  <c r="P39" i="175" s="1"/>
  <c r="E39" i="175"/>
  <c r="O38" i="175"/>
  <c r="N38" i="175"/>
  <c r="L38" i="175"/>
  <c r="K38" i="175"/>
  <c r="H38" i="175"/>
  <c r="F38" i="175"/>
  <c r="P38" i="175" s="1"/>
  <c r="E38" i="175"/>
  <c r="O37" i="175"/>
  <c r="N37" i="175"/>
  <c r="L37" i="175"/>
  <c r="K37" i="175"/>
  <c r="H37" i="175"/>
  <c r="F37" i="175"/>
  <c r="P37" i="175" s="1"/>
  <c r="E37" i="175"/>
  <c r="O36" i="175"/>
  <c r="N36" i="175"/>
  <c r="L36" i="175"/>
  <c r="K36" i="175"/>
  <c r="H36" i="175"/>
  <c r="F36" i="175"/>
  <c r="P36" i="175" s="1"/>
  <c r="E36" i="175"/>
  <c r="O34" i="175"/>
  <c r="N34" i="175"/>
  <c r="K34" i="175"/>
  <c r="H34" i="175"/>
  <c r="F34" i="175"/>
  <c r="P34" i="175" s="1"/>
  <c r="E34" i="175"/>
  <c r="O33" i="175"/>
  <c r="N33" i="175"/>
  <c r="K33" i="175"/>
  <c r="H33" i="175"/>
  <c r="F33" i="175"/>
  <c r="P33" i="175" s="1"/>
  <c r="E33" i="175"/>
  <c r="O32" i="175"/>
  <c r="N32" i="175"/>
  <c r="K32" i="175"/>
  <c r="H32" i="175"/>
  <c r="F32" i="175"/>
  <c r="P32" i="175" s="1"/>
  <c r="E32" i="175"/>
  <c r="O31" i="175"/>
  <c r="N31" i="175"/>
  <c r="K31" i="175"/>
  <c r="H31" i="175"/>
  <c r="F31" i="175"/>
  <c r="P31" i="175" s="1"/>
  <c r="E31" i="175"/>
  <c r="O30" i="175"/>
  <c r="N30" i="175"/>
  <c r="K30" i="175"/>
  <c r="H30" i="175"/>
  <c r="F30" i="175"/>
  <c r="P30" i="175" s="1"/>
  <c r="E30" i="175"/>
  <c r="P28" i="175"/>
  <c r="J28" i="175"/>
  <c r="D28" i="175"/>
  <c r="L28" i="175" s="1"/>
  <c r="M28" i="175" s="1"/>
  <c r="C28" i="175"/>
  <c r="H28" i="175" s="1"/>
  <c r="I28" i="175" s="1"/>
  <c r="O28" i="175" s="1"/>
  <c r="A28" i="175"/>
  <c r="P27" i="175"/>
  <c r="J27" i="175"/>
  <c r="D27" i="175"/>
  <c r="L27" i="175" s="1"/>
  <c r="M27" i="175" s="1"/>
  <c r="C27" i="175"/>
  <c r="H27" i="175" s="1"/>
  <c r="I27" i="175" s="1"/>
  <c r="O27" i="175" s="1"/>
  <c r="A27" i="175"/>
  <c r="P26" i="175"/>
  <c r="J26" i="175"/>
  <c r="E26" i="175" a="1"/>
  <c r="E26" i="175" s="1"/>
  <c r="D26" i="175"/>
  <c r="L26" i="175" s="1"/>
  <c r="M26" i="175" s="1"/>
  <c r="C26" i="175"/>
  <c r="H26" i="175" s="1"/>
  <c r="I26" i="175" s="1"/>
  <c r="O26" i="175" s="1"/>
  <c r="P25" i="175"/>
  <c r="J25" i="175"/>
  <c r="E25" i="175" a="1"/>
  <c r="E25" i="175" s="1"/>
  <c r="D25" i="175"/>
  <c r="L25" i="175" s="1"/>
  <c r="M25" i="175" s="1"/>
  <c r="C25" i="175"/>
  <c r="H25" i="175" s="1"/>
  <c r="I25" i="175" s="1"/>
  <c r="O25" i="175" s="1"/>
  <c r="P24" i="175"/>
  <c r="J24" i="175"/>
  <c r="E24" i="175" a="1"/>
  <c r="E24" i="175" s="1"/>
  <c r="D24" i="175"/>
  <c r="L24" i="175" s="1"/>
  <c r="M24" i="175" s="1"/>
  <c r="C24" i="175"/>
  <c r="H24" i="175" s="1"/>
  <c r="I24" i="175" s="1"/>
  <c r="O24" i="175" s="1"/>
  <c r="P23" i="175"/>
  <c r="J23" i="175"/>
  <c r="E23" i="175" a="1"/>
  <c r="E23" i="175" s="1"/>
  <c r="D23" i="175"/>
  <c r="L23" i="175" s="1"/>
  <c r="M23" i="175" s="1"/>
  <c r="C23" i="175"/>
  <c r="H23" i="175" s="1"/>
  <c r="I23" i="175" s="1"/>
  <c r="O23" i="175" s="1"/>
  <c r="P22" i="175"/>
  <c r="J22" i="175"/>
  <c r="E22" i="175" a="1"/>
  <c r="E22" i="175" s="1"/>
  <c r="D22" i="175"/>
  <c r="L22" i="175" s="1"/>
  <c r="M22" i="175" s="1"/>
  <c r="C22" i="175"/>
  <c r="H22" i="175" s="1"/>
  <c r="I22" i="175" s="1"/>
  <c r="O22" i="175" s="1"/>
  <c r="P21" i="175"/>
  <c r="J21" i="175"/>
  <c r="E21" i="175" a="1"/>
  <c r="E21" i="175" s="1"/>
  <c r="D21" i="175"/>
  <c r="L21" i="175" s="1"/>
  <c r="M21" i="175" s="1"/>
  <c r="C21" i="175"/>
  <c r="H21" i="175" s="1"/>
  <c r="I21" i="175" s="1"/>
  <c r="O21" i="175" s="1"/>
  <c r="J20" i="175"/>
  <c r="E20" i="175" a="1"/>
  <c r="E20" i="175" s="1"/>
  <c r="D20" i="175"/>
  <c r="L20" i="175" s="1"/>
  <c r="M20" i="175" s="1"/>
  <c r="C20" i="175"/>
  <c r="H20" i="175" s="1"/>
  <c r="I20" i="175" s="1"/>
  <c r="O20" i="175" s="1"/>
  <c r="J19" i="175"/>
  <c r="E19" i="175" a="1"/>
  <c r="E19" i="175" s="1"/>
  <c r="D19" i="175"/>
  <c r="L19" i="175" s="1"/>
  <c r="M19" i="175" s="1"/>
  <c r="C19" i="175"/>
  <c r="H19" i="175" s="1"/>
  <c r="N17" i="175"/>
  <c r="E17" i="175"/>
  <c r="P17" i="175" s="1"/>
  <c r="P16" i="175"/>
  <c r="N16" i="175"/>
  <c r="E16" i="175"/>
  <c r="N15" i="175"/>
  <c r="J15" i="175"/>
  <c r="J16" i="175" s="1"/>
  <c r="E15" i="175"/>
  <c r="P15" i="175" s="1"/>
  <c r="J14" i="175"/>
  <c r="U6" i="175" s="1"/>
  <c r="P13" i="175"/>
  <c r="O13" i="175"/>
  <c r="P11" i="175"/>
  <c r="J11" i="175"/>
  <c r="J10" i="175"/>
  <c r="E10" i="175"/>
  <c r="O9" i="175"/>
  <c r="J8" i="175"/>
  <c r="J9" i="175" s="1"/>
  <c r="S10" i="175" s="1"/>
  <c r="L7" i="175"/>
  <c r="F7" i="175"/>
  <c r="P5" i="175"/>
  <c r="P8" i="175" s="1"/>
  <c r="N5" i="175"/>
  <c r="M5" i="175"/>
  <c r="K5" i="175"/>
  <c r="J5" i="175"/>
  <c r="J13" i="175" s="1"/>
  <c r="N4" i="175"/>
  <c r="M4" i="175"/>
  <c r="J4" i="175"/>
  <c r="F4" i="175"/>
  <c r="E4" i="175"/>
  <c r="E9" i="175" s="1"/>
  <c r="P9" i="175" s="1"/>
  <c r="P90" i="172"/>
  <c r="O90" i="172"/>
  <c r="K90" i="172"/>
  <c r="I90" i="172"/>
  <c r="G90" i="172"/>
  <c r="P89" i="172"/>
  <c r="O89" i="172"/>
  <c r="K89" i="172"/>
  <c r="I89" i="172"/>
  <c r="G89" i="172"/>
  <c r="P88" i="172"/>
  <c r="O88" i="172"/>
  <c r="K88" i="172"/>
  <c r="I88" i="172"/>
  <c r="G88" i="172"/>
  <c r="P87" i="172"/>
  <c r="O87" i="172"/>
  <c r="K87" i="172"/>
  <c r="I87" i="172"/>
  <c r="G87" i="172"/>
  <c r="P86" i="172"/>
  <c r="O86" i="172"/>
  <c r="K86" i="172"/>
  <c r="I86" i="172"/>
  <c r="G86" i="172"/>
  <c r="P85" i="172"/>
  <c r="O85" i="172"/>
  <c r="K85" i="172"/>
  <c r="I85" i="172"/>
  <c r="G85" i="172"/>
  <c r="P84" i="172"/>
  <c r="O84" i="172"/>
  <c r="K84" i="172"/>
  <c r="I84" i="172"/>
  <c r="G84" i="172"/>
  <c r="P83" i="172"/>
  <c r="O83" i="172"/>
  <c r="K83" i="172"/>
  <c r="I83" i="172"/>
  <c r="G83" i="172"/>
  <c r="P82" i="172"/>
  <c r="O82" i="172"/>
  <c r="K82" i="172"/>
  <c r="I82" i="172"/>
  <c r="G82" i="172"/>
  <c r="P81" i="172"/>
  <c r="O81" i="172"/>
  <c r="K81" i="172"/>
  <c r="I81" i="172"/>
  <c r="G81" i="172"/>
  <c r="P80" i="172"/>
  <c r="O80" i="172"/>
  <c r="K80" i="172"/>
  <c r="I80" i="172"/>
  <c r="G80" i="172"/>
  <c r="P79" i="172"/>
  <c r="O79" i="172"/>
  <c r="K79" i="172"/>
  <c r="I79" i="172"/>
  <c r="G79" i="172"/>
  <c r="P78" i="172"/>
  <c r="O78" i="172"/>
  <c r="K78" i="172"/>
  <c r="I78" i="172"/>
  <c r="G78" i="172"/>
  <c r="P77" i="172"/>
  <c r="O77" i="172"/>
  <c r="K77" i="172"/>
  <c r="I77" i="172"/>
  <c r="G77" i="172"/>
  <c r="P76" i="172"/>
  <c r="O76" i="172"/>
  <c r="K76" i="172"/>
  <c r="I76" i="172"/>
  <c r="G76" i="172"/>
  <c r="P75" i="172"/>
  <c r="O75" i="172"/>
  <c r="K75" i="172"/>
  <c r="I75" i="172"/>
  <c r="G75" i="172"/>
  <c r="P74" i="172"/>
  <c r="O74" i="172"/>
  <c r="K74" i="172"/>
  <c r="I74" i="172"/>
  <c r="G74" i="172"/>
  <c r="P73" i="172"/>
  <c r="K73" i="172"/>
  <c r="I73" i="172"/>
  <c r="G73" i="172"/>
  <c r="P71" i="172"/>
  <c r="O71" i="172"/>
  <c r="K71" i="172"/>
  <c r="G71" i="172"/>
  <c r="P70" i="172"/>
  <c r="O70" i="172"/>
  <c r="N70" i="172"/>
  <c r="K70" i="172"/>
  <c r="G70" i="172"/>
  <c r="P69" i="172"/>
  <c r="O69" i="172"/>
  <c r="N69" i="172"/>
  <c r="K69" i="172"/>
  <c r="G69" i="172"/>
  <c r="N67" i="172"/>
  <c r="F66" i="172" a="1"/>
  <c r="F66" i="172" s="1"/>
  <c r="P65" i="172"/>
  <c r="K65" i="172"/>
  <c r="E65" i="172"/>
  <c r="O64" i="172"/>
  <c r="M64" i="172"/>
  <c r="L64" i="172"/>
  <c r="P64" i="172" s="1"/>
  <c r="K64" i="172"/>
  <c r="J64" i="172"/>
  <c r="H64" i="172"/>
  <c r="E57" i="172"/>
  <c r="P57" i="172" s="1"/>
  <c r="L56" i="172"/>
  <c r="K56" i="172"/>
  <c r="H56" i="172"/>
  <c r="F56" i="172"/>
  <c r="P56" i="172" s="1"/>
  <c r="E56" i="172"/>
  <c r="L55" i="172"/>
  <c r="K55" i="172"/>
  <c r="E55" i="172"/>
  <c r="L54" i="172"/>
  <c r="K54" i="172"/>
  <c r="E54" i="172"/>
  <c r="L53" i="172"/>
  <c r="K53" i="172"/>
  <c r="E53" i="172"/>
  <c r="L52" i="172"/>
  <c r="K52" i="172"/>
  <c r="E52" i="172"/>
  <c r="L51" i="172"/>
  <c r="K51" i="172"/>
  <c r="E51" i="172"/>
  <c r="L50" i="172"/>
  <c r="K50" i="172"/>
  <c r="E50" i="172"/>
  <c r="L49" i="172"/>
  <c r="K49" i="172"/>
  <c r="E49" i="172"/>
  <c r="L48" i="172"/>
  <c r="K48" i="172"/>
  <c r="E48" i="172"/>
  <c r="L47" i="172"/>
  <c r="K47" i="172"/>
  <c r="E47" i="172"/>
  <c r="L45" i="172"/>
  <c r="K45" i="172"/>
  <c r="E45" i="172"/>
  <c r="L44" i="172"/>
  <c r="K44" i="172"/>
  <c r="E44" i="172"/>
  <c r="L43" i="172"/>
  <c r="K43" i="172"/>
  <c r="E43" i="172"/>
  <c r="L42" i="172"/>
  <c r="K42" i="172"/>
  <c r="E42" i="172"/>
  <c r="O41" i="172"/>
  <c r="N41" i="172"/>
  <c r="L41" i="172"/>
  <c r="K41" i="172"/>
  <c r="H41" i="172"/>
  <c r="F41" i="172"/>
  <c r="P41" i="172" s="1"/>
  <c r="E41" i="172"/>
  <c r="O40" i="172"/>
  <c r="N40" i="172"/>
  <c r="L40" i="172"/>
  <c r="K40" i="172"/>
  <c r="H40" i="172"/>
  <c r="F40" i="172"/>
  <c r="P40" i="172" s="1"/>
  <c r="E40" i="172"/>
  <c r="O39" i="172"/>
  <c r="N39" i="172"/>
  <c r="L39" i="172"/>
  <c r="K39" i="172"/>
  <c r="H39" i="172"/>
  <c r="F39" i="172"/>
  <c r="P39" i="172" s="1"/>
  <c r="E39" i="172"/>
  <c r="O38" i="172"/>
  <c r="N38" i="172"/>
  <c r="L38" i="172"/>
  <c r="K38" i="172"/>
  <c r="H38" i="172"/>
  <c r="F38" i="172"/>
  <c r="P38" i="172" s="1"/>
  <c r="E38" i="172"/>
  <c r="O37" i="172"/>
  <c r="N37" i="172"/>
  <c r="L37" i="172"/>
  <c r="K37" i="172"/>
  <c r="H37" i="172"/>
  <c r="F37" i="172"/>
  <c r="P37" i="172" s="1"/>
  <c r="E37" i="172"/>
  <c r="O36" i="172"/>
  <c r="N36" i="172"/>
  <c r="L36" i="172"/>
  <c r="K36" i="172"/>
  <c r="H36" i="172"/>
  <c r="F36" i="172"/>
  <c r="P36" i="172" s="1"/>
  <c r="E36" i="172"/>
  <c r="O34" i="172"/>
  <c r="N34" i="172"/>
  <c r="K34" i="172"/>
  <c r="H34" i="172"/>
  <c r="F34" i="172"/>
  <c r="P34" i="172" s="1"/>
  <c r="E34" i="172"/>
  <c r="O33" i="172"/>
  <c r="N33" i="172"/>
  <c r="K33" i="172"/>
  <c r="H33" i="172"/>
  <c r="F33" i="172"/>
  <c r="P33" i="172" s="1"/>
  <c r="E33" i="172"/>
  <c r="O32" i="172"/>
  <c r="N32" i="172"/>
  <c r="K32" i="172"/>
  <c r="H32" i="172"/>
  <c r="F32" i="172"/>
  <c r="P32" i="172" s="1"/>
  <c r="E32" i="172"/>
  <c r="O31" i="172"/>
  <c r="N31" i="172"/>
  <c r="K31" i="172"/>
  <c r="H31" i="172"/>
  <c r="F31" i="172"/>
  <c r="P31" i="172" s="1"/>
  <c r="E31" i="172"/>
  <c r="O30" i="172"/>
  <c r="N30" i="172"/>
  <c r="K30" i="172"/>
  <c r="H30" i="172"/>
  <c r="F30" i="172"/>
  <c r="P30" i="172" s="1"/>
  <c r="E30" i="172"/>
  <c r="P28" i="172"/>
  <c r="J28" i="172"/>
  <c r="D28" i="172"/>
  <c r="L28" i="172" s="1"/>
  <c r="M28" i="172" s="1"/>
  <c r="C28" i="172"/>
  <c r="F28" i="172" s="1"/>
  <c r="A28" i="172"/>
  <c r="P27" i="172"/>
  <c r="J27" i="172"/>
  <c r="D27" i="172"/>
  <c r="L27" i="172" s="1"/>
  <c r="M27" i="172" s="1"/>
  <c r="C27" i="172"/>
  <c r="F27" i="172" s="1"/>
  <c r="A27" i="172"/>
  <c r="P26" i="172"/>
  <c r="J26" i="172"/>
  <c r="E26" i="172" a="1"/>
  <c r="E26" i="172" s="1"/>
  <c r="D26" i="172"/>
  <c r="L26" i="172" s="1"/>
  <c r="M26" i="172" s="1"/>
  <c r="C26" i="172"/>
  <c r="H26" i="172" s="1"/>
  <c r="I26" i="172" s="1"/>
  <c r="O26" i="172" s="1"/>
  <c r="P25" i="172"/>
  <c r="J25" i="172"/>
  <c r="E25" i="172" a="1"/>
  <c r="E25" i="172" s="1"/>
  <c r="D25" i="172"/>
  <c r="L25" i="172" s="1"/>
  <c r="M25" i="172" s="1"/>
  <c r="C25" i="172"/>
  <c r="H25" i="172" s="1"/>
  <c r="I25" i="172" s="1"/>
  <c r="O25" i="172" s="1"/>
  <c r="P24" i="172"/>
  <c r="J24" i="172"/>
  <c r="E24" i="172" a="1"/>
  <c r="E24" i="172" s="1"/>
  <c r="D24" i="172"/>
  <c r="L24" i="172" s="1"/>
  <c r="M24" i="172" s="1"/>
  <c r="C24" i="172"/>
  <c r="F24" i="172" s="1"/>
  <c r="P23" i="172"/>
  <c r="J23" i="172"/>
  <c r="E23" i="172" a="1"/>
  <c r="E23" i="172" s="1"/>
  <c r="D23" i="172"/>
  <c r="L23" i="172" s="1"/>
  <c r="M23" i="172" s="1"/>
  <c r="C23" i="172"/>
  <c r="H23" i="172" s="1"/>
  <c r="I23" i="172" s="1"/>
  <c r="O23" i="172" s="1"/>
  <c r="P22" i="172"/>
  <c r="J22" i="172"/>
  <c r="E22" i="172" a="1"/>
  <c r="E22" i="172" s="1"/>
  <c r="D22" i="172"/>
  <c r="L22" i="172" s="1"/>
  <c r="M22" i="172" s="1"/>
  <c r="C22" i="172"/>
  <c r="H22" i="172" s="1"/>
  <c r="I22" i="172" s="1"/>
  <c r="O22" i="172" s="1"/>
  <c r="P21" i="172"/>
  <c r="J21" i="172"/>
  <c r="E21" i="172" a="1"/>
  <c r="E21" i="172" s="1"/>
  <c r="D21" i="172"/>
  <c r="L21" i="172" s="1"/>
  <c r="M21" i="172" s="1"/>
  <c r="C21" i="172"/>
  <c r="H21" i="172" s="1"/>
  <c r="I21" i="172" s="1"/>
  <c r="O21" i="172" s="1"/>
  <c r="J20" i="172"/>
  <c r="D20" i="172"/>
  <c r="L20" i="172" s="1"/>
  <c r="M20" i="172" s="1"/>
  <c r="C20" i="172"/>
  <c r="H20" i="172" s="1"/>
  <c r="I20" i="172" s="1"/>
  <c r="O20" i="172" s="1"/>
  <c r="J19" i="172"/>
  <c r="D19" i="172"/>
  <c r="L19" i="172" s="1"/>
  <c r="M19" i="172" s="1"/>
  <c r="C19" i="172"/>
  <c r="H19" i="172" s="1"/>
  <c r="N17" i="172"/>
  <c r="E17" i="172"/>
  <c r="P17" i="172" s="1"/>
  <c r="P16" i="172"/>
  <c r="N16" i="172"/>
  <c r="E16" i="172"/>
  <c r="N15" i="172"/>
  <c r="J15" i="172"/>
  <c r="J16" i="172" s="1"/>
  <c r="E15" i="172"/>
  <c r="P15" i="172" s="1"/>
  <c r="J14" i="172"/>
  <c r="U6" i="172" s="1"/>
  <c r="P13" i="172"/>
  <c r="O13" i="172"/>
  <c r="P11" i="172"/>
  <c r="J11" i="172"/>
  <c r="J10" i="172"/>
  <c r="E10" i="172"/>
  <c r="O9" i="172"/>
  <c r="J8" i="172"/>
  <c r="J9" i="172" s="1"/>
  <c r="S10" i="172" s="1"/>
  <c r="L7" i="172"/>
  <c r="F7" i="172"/>
  <c r="P5" i="172"/>
  <c r="P8" i="172" s="1"/>
  <c r="N5" i="172"/>
  <c r="M5" i="172"/>
  <c r="K5" i="172"/>
  <c r="J5" i="172"/>
  <c r="J13" i="172" s="1"/>
  <c r="N4" i="172"/>
  <c r="M4" i="172"/>
  <c r="J4" i="172"/>
  <c r="F4" i="172"/>
  <c r="E4" i="172"/>
  <c r="E9" i="172" s="1"/>
  <c r="P9" i="172" s="1"/>
  <c r="P90" i="171"/>
  <c r="O90" i="171"/>
  <c r="K90" i="171"/>
  <c r="I90" i="171"/>
  <c r="G90" i="171"/>
  <c r="P89" i="171"/>
  <c r="O89" i="171"/>
  <c r="K89" i="171"/>
  <c r="I89" i="171"/>
  <c r="G89" i="171"/>
  <c r="P88" i="171"/>
  <c r="O88" i="171"/>
  <c r="K88" i="171"/>
  <c r="I88" i="171"/>
  <c r="G88" i="171"/>
  <c r="P87" i="171"/>
  <c r="O87" i="171"/>
  <c r="K87" i="171"/>
  <c r="I87" i="171"/>
  <c r="G87" i="171"/>
  <c r="P86" i="171"/>
  <c r="O86" i="171"/>
  <c r="K86" i="171"/>
  <c r="I86" i="171"/>
  <c r="G86" i="171"/>
  <c r="P85" i="171"/>
  <c r="O85" i="171"/>
  <c r="K85" i="171"/>
  <c r="I85" i="171"/>
  <c r="G85" i="171"/>
  <c r="P84" i="171"/>
  <c r="O84" i="171"/>
  <c r="K84" i="171"/>
  <c r="I84" i="171"/>
  <c r="G84" i="171"/>
  <c r="P83" i="171"/>
  <c r="O83" i="171"/>
  <c r="K83" i="171"/>
  <c r="I83" i="171"/>
  <c r="G83" i="171"/>
  <c r="P82" i="171"/>
  <c r="O82" i="171"/>
  <c r="K82" i="171"/>
  <c r="I82" i="171"/>
  <c r="G82" i="171"/>
  <c r="P81" i="171"/>
  <c r="O81" i="171"/>
  <c r="K81" i="171"/>
  <c r="I81" i="171"/>
  <c r="G81" i="171"/>
  <c r="P80" i="171"/>
  <c r="O80" i="171"/>
  <c r="K80" i="171"/>
  <c r="I80" i="171"/>
  <c r="G80" i="171"/>
  <c r="P79" i="171"/>
  <c r="O79" i="171"/>
  <c r="K79" i="171"/>
  <c r="I79" i="171"/>
  <c r="G79" i="171"/>
  <c r="P78" i="171"/>
  <c r="O78" i="171"/>
  <c r="K78" i="171"/>
  <c r="I78" i="171"/>
  <c r="G78" i="171"/>
  <c r="P77" i="171"/>
  <c r="O77" i="171"/>
  <c r="K77" i="171"/>
  <c r="I77" i="171"/>
  <c r="G77" i="171"/>
  <c r="P76" i="171"/>
  <c r="O76" i="171"/>
  <c r="K76" i="171"/>
  <c r="I76" i="171"/>
  <c r="G76" i="171"/>
  <c r="P75" i="171"/>
  <c r="O75" i="171"/>
  <c r="K75" i="171"/>
  <c r="I75" i="171"/>
  <c r="G75" i="171"/>
  <c r="P74" i="171"/>
  <c r="O74" i="171"/>
  <c r="K74" i="171"/>
  <c r="I74" i="171"/>
  <c r="G74" i="171"/>
  <c r="P73" i="171"/>
  <c r="K73" i="171"/>
  <c r="I73" i="171"/>
  <c r="G73" i="171"/>
  <c r="P71" i="171"/>
  <c r="O71" i="171"/>
  <c r="K71" i="171"/>
  <c r="G71" i="171"/>
  <c r="P70" i="171"/>
  <c r="O70" i="171"/>
  <c r="N70" i="171"/>
  <c r="K70" i="171"/>
  <c r="G70" i="171"/>
  <c r="P69" i="171"/>
  <c r="O69" i="171"/>
  <c r="N69" i="171"/>
  <c r="K69" i="171"/>
  <c r="G69" i="171"/>
  <c r="N67" i="171"/>
  <c r="F66" i="171" a="1"/>
  <c r="F66" i="171" s="1"/>
  <c r="P65" i="171"/>
  <c r="K65" i="171"/>
  <c r="E65" i="171"/>
  <c r="O64" i="171"/>
  <c r="M64" i="171"/>
  <c r="L64" i="171"/>
  <c r="L65" i="171" s="1"/>
  <c r="K64" i="171"/>
  <c r="J64" i="171"/>
  <c r="H64" i="171"/>
  <c r="E57" i="171"/>
  <c r="P57" i="171" s="1"/>
  <c r="L56" i="171"/>
  <c r="K56" i="171"/>
  <c r="H56" i="171"/>
  <c r="F56" i="171"/>
  <c r="P56" i="171" s="1"/>
  <c r="E56" i="171"/>
  <c r="L55" i="171"/>
  <c r="K55" i="171"/>
  <c r="E55" i="171"/>
  <c r="L54" i="171"/>
  <c r="K54" i="171"/>
  <c r="E54" i="171"/>
  <c r="L53" i="171"/>
  <c r="K53" i="171"/>
  <c r="E53" i="171"/>
  <c r="L52" i="171"/>
  <c r="K52" i="171"/>
  <c r="E52" i="171"/>
  <c r="L51" i="171"/>
  <c r="K51" i="171"/>
  <c r="E51" i="171"/>
  <c r="L50" i="171"/>
  <c r="K50" i="171"/>
  <c r="E50" i="171"/>
  <c r="L49" i="171"/>
  <c r="K49" i="171"/>
  <c r="E49" i="171"/>
  <c r="L48" i="171"/>
  <c r="K48" i="171"/>
  <c r="E48" i="171"/>
  <c r="L47" i="171"/>
  <c r="K47" i="171"/>
  <c r="E47" i="171"/>
  <c r="L46" i="171"/>
  <c r="K46" i="171"/>
  <c r="E46" i="171"/>
  <c r="L45" i="171"/>
  <c r="K45" i="171"/>
  <c r="E45" i="171"/>
  <c r="L44" i="171"/>
  <c r="K44" i="171"/>
  <c r="E44" i="171"/>
  <c r="O41" i="171"/>
  <c r="N41" i="171"/>
  <c r="L41" i="171"/>
  <c r="K41" i="171"/>
  <c r="H41" i="171"/>
  <c r="F41" i="171"/>
  <c r="P41" i="171" s="1"/>
  <c r="E41" i="171"/>
  <c r="O40" i="171"/>
  <c r="N40" i="171"/>
  <c r="L40" i="171"/>
  <c r="K40" i="171"/>
  <c r="H40" i="171"/>
  <c r="F40" i="171"/>
  <c r="P40" i="171" s="1"/>
  <c r="E40" i="171"/>
  <c r="O39" i="171"/>
  <c r="N39" i="171"/>
  <c r="L39" i="171"/>
  <c r="K39" i="171"/>
  <c r="H39" i="171"/>
  <c r="F39" i="171"/>
  <c r="P39" i="171" s="1"/>
  <c r="E39" i="171"/>
  <c r="O38" i="171"/>
  <c r="N38" i="171"/>
  <c r="L38" i="171"/>
  <c r="K38" i="171"/>
  <c r="H38" i="171"/>
  <c r="F38" i="171"/>
  <c r="P38" i="171" s="1"/>
  <c r="E38" i="171"/>
  <c r="O37" i="171"/>
  <c r="N37" i="171"/>
  <c r="L37" i="171"/>
  <c r="K37" i="171"/>
  <c r="H37" i="171"/>
  <c r="F37" i="171"/>
  <c r="P37" i="171" s="1"/>
  <c r="E37" i="171"/>
  <c r="O36" i="171"/>
  <c r="N36" i="171"/>
  <c r="L36" i="171"/>
  <c r="K36" i="171"/>
  <c r="H36" i="171"/>
  <c r="F36" i="171"/>
  <c r="P36" i="171" s="1"/>
  <c r="E36" i="171"/>
  <c r="O34" i="171"/>
  <c r="N34" i="171"/>
  <c r="K34" i="171"/>
  <c r="H34" i="171"/>
  <c r="F34" i="171"/>
  <c r="P34" i="171" s="1"/>
  <c r="E34" i="171"/>
  <c r="O33" i="171"/>
  <c r="N33" i="171"/>
  <c r="K33" i="171"/>
  <c r="H33" i="171"/>
  <c r="F33" i="171"/>
  <c r="P33" i="171" s="1"/>
  <c r="E33" i="171"/>
  <c r="O32" i="171"/>
  <c r="N32" i="171"/>
  <c r="K32" i="171"/>
  <c r="H32" i="171"/>
  <c r="F32" i="171"/>
  <c r="P32" i="171" s="1"/>
  <c r="E32" i="171"/>
  <c r="O31" i="171"/>
  <c r="N31" i="171"/>
  <c r="K31" i="171"/>
  <c r="H31" i="171"/>
  <c r="F31" i="171"/>
  <c r="P31" i="171" s="1"/>
  <c r="E31" i="171"/>
  <c r="O30" i="171"/>
  <c r="N30" i="171"/>
  <c r="K30" i="171"/>
  <c r="H30" i="171"/>
  <c r="F30" i="171"/>
  <c r="P30" i="171" s="1"/>
  <c r="E30" i="171"/>
  <c r="P28" i="171"/>
  <c r="J28" i="171"/>
  <c r="D28" i="171"/>
  <c r="L28" i="171" s="1"/>
  <c r="M28" i="171" s="1"/>
  <c r="C28" i="171"/>
  <c r="F28" i="171" s="1"/>
  <c r="A28" i="171"/>
  <c r="P27" i="171"/>
  <c r="J27" i="171"/>
  <c r="D27" i="171"/>
  <c r="L27" i="171" s="1"/>
  <c r="M27" i="171" s="1"/>
  <c r="C27" i="171"/>
  <c r="H27" i="171" s="1"/>
  <c r="I27" i="171" s="1"/>
  <c r="O27" i="171" s="1"/>
  <c r="A27" i="171"/>
  <c r="P26" i="171"/>
  <c r="J26" i="171"/>
  <c r="E26" i="171" a="1"/>
  <c r="E26" i="171" s="1"/>
  <c r="D26" i="171"/>
  <c r="L26" i="171" s="1"/>
  <c r="M26" i="171" s="1"/>
  <c r="C26" i="171"/>
  <c r="H26" i="171" s="1"/>
  <c r="I26" i="171" s="1"/>
  <c r="O26" i="171" s="1"/>
  <c r="P25" i="171"/>
  <c r="J25" i="171"/>
  <c r="E25" i="171" a="1"/>
  <c r="E25" i="171" s="1"/>
  <c r="D25" i="171"/>
  <c r="L25" i="171" s="1"/>
  <c r="M25" i="171" s="1"/>
  <c r="C25" i="171"/>
  <c r="H25" i="171" s="1"/>
  <c r="I25" i="171" s="1"/>
  <c r="O25" i="171" s="1"/>
  <c r="P24" i="171"/>
  <c r="J24" i="171"/>
  <c r="E24" i="171" a="1"/>
  <c r="E24" i="171" s="1"/>
  <c r="D24" i="171"/>
  <c r="L24" i="171" s="1"/>
  <c r="M24" i="171" s="1"/>
  <c r="C24" i="171"/>
  <c r="H24" i="171" s="1"/>
  <c r="I24" i="171" s="1"/>
  <c r="O24" i="171" s="1"/>
  <c r="P23" i="171"/>
  <c r="J23" i="171"/>
  <c r="E23" i="171" a="1"/>
  <c r="E23" i="171" s="1"/>
  <c r="D23" i="171"/>
  <c r="L23" i="171" s="1"/>
  <c r="M23" i="171" s="1"/>
  <c r="C23" i="171"/>
  <c r="H23" i="171" s="1"/>
  <c r="I23" i="171" s="1"/>
  <c r="O23" i="171" s="1"/>
  <c r="P22" i="171"/>
  <c r="J22" i="171"/>
  <c r="E22" i="171" a="1"/>
  <c r="E22" i="171" s="1"/>
  <c r="D22" i="171"/>
  <c r="L22" i="171" s="1"/>
  <c r="M22" i="171" s="1"/>
  <c r="C22" i="171"/>
  <c r="H22" i="171" s="1"/>
  <c r="I22" i="171" s="1"/>
  <c r="O22" i="171" s="1"/>
  <c r="P21" i="171"/>
  <c r="J21" i="171"/>
  <c r="E21" i="171" a="1"/>
  <c r="E21" i="171" s="1"/>
  <c r="D21" i="171"/>
  <c r="L21" i="171" s="1"/>
  <c r="M21" i="171" s="1"/>
  <c r="C21" i="171"/>
  <c r="H21" i="171" s="1"/>
  <c r="I21" i="171" s="1"/>
  <c r="O21" i="171" s="1"/>
  <c r="J20" i="171"/>
  <c r="D20" i="171"/>
  <c r="L20" i="171" s="1"/>
  <c r="M20" i="171" s="1"/>
  <c r="C20" i="171"/>
  <c r="H20" i="171" s="1"/>
  <c r="I20" i="171" s="1"/>
  <c r="O20" i="171" s="1"/>
  <c r="J19" i="171"/>
  <c r="D19" i="171"/>
  <c r="L19" i="171" s="1"/>
  <c r="M19" i="171" s="1"/>
  <c r="C19" i="171"/>
  <c r="F19" i="171" s="1"/>
  <c r="N17" i="171"/>
  <c r="E17" i="171"/>
  <c r="P17" i="171" s="1"/>
  <c r="P16" i="171"/>
  <c r="N16" i="171"/>
  <c r="E16" i="171"/>
  <c r="N15" i="171"/>
  <c r="J15" i="171"/>
  <c r="J16" i="171" s="1"/>
  <c r="E15" i="171"/>
  <c r="P15" i="171" s="1"/>
  <c r="J14" i="171"/>
  <c r="U6" i="171" s="1"/>
  <c r="P13" i="171"/>
  <c r="O13" i="171"/>
  <c r="P11" i="171"/>
  <c r="J11" i="171"/>
  <c r="J10" i="171"/>
  <c r="E10" i="171"/>
  <c r="O9" i="171"/>
  <c r="J8" i="171"/>
  <c r="J9" i="171" s="1"/>
  <c r="S10" i="171" s="1"/>
  <c r="L7" i="171"/>
  <c r="F7" i="171"/>
  <c r="P5" i="171"/>
  <c r="P10" i="171" s="1"/>
  <c r="N5" i="171"/>
  <c r="M5" i="171"/>
  <c r="K5" i="171"/>
  <c r="J5" i="171"/>
  <c r="J13" i="171" s="1"/>
  <c r="N4" i="171"/>
  <c r="M4" i="171"/>
  <c r="J4" i="171"/>
  <c r="F4" i="171"/>
  <c r="E4" i="171"/>
  <c r="E19" i="171" s="1" a="1"/>
  <c r="E19" i="171" s="1"/>
  <c r="N166" i="1"/>
  <c r="O74" i="6"/>
  <c r="O75" i="6"/>
  <c r="O76" i="6"/>
  <c r="O77" i="6"/>
  <c r="O78" i="6"/>
  <c r="O79" i="6"/>
  <c r="O80" i="6"/>
  <c r="O81" i="6"/>
  <c r="O82" i="6"/>
  <c r="O83" i="6"/>
  <c r="O84" i="6"/>
  <c r="O85" i="6"/>
  <c r="O86" i="6"/>
  <c r="O87" i="6"/>
  <c r="O88" i="6"/>
  <c r="O89" i="6"/>
  <c r="O90" i="6"/>
  <c r="O73" i="6"/>
  <c r="P90" i="148"/>
  <c r="O90" i="148"/>
  <c r="K90" i="148"/>
  <c r="I90" i="148"/>
  <c r="G90" i="148"/>
  <c r="P89" i="148"/>
  <c r="O89" i="148"/>
  <c r="K89" i="148"/>
  <c r="I89" i="148"/>
  <c r="G89" i="148"/>
  <c r="P88" i="148"/>
  <c r="O88" i="148"/>
  <c r="K88" i="148"/>
  <c r="I88" i="148"/>
  <c r="G88" i="148"/>
  <c r="P87" i="148"/>
  <c r="O87" i="148"/>
  <c r="K87" i="148"/>
  <c r="I87" i="148"/>
  <c r="G87" i="148"/>
  <c r="P86" i="148"/>
  <c r="O86" i="148"/>
  <c r="K86" i="148"/>
  <c r="I86" i="148"/>
  <c r="G86" i="148"/>
  <c r="P85" i="148"/>
  <c r="O85" i="148"/>
  <c r="K85" i="148"/>
  <c r="I85" i="148"/>
  <c r="G85" i="148"/>
  <c r="P84" i="148"/>
  <c r="O84" i="148"/>
  <c r="K84" i="148"/>
  <c r="I84" i="148"/>
  <c r="G84" i="148"/>
  <c r="P83" i="148"/>
  <c r="O83" i="148"/>
  <c r="K83" i="148"/>
  <c r="I83" i="148"/>
  <c r="G83" i="148"/>
  <c r="P82" i="148"/>
  <c r="O82" i="148"/>
  <c r="K82" i="148"/>
  <c r="I82" i="148"/>
  <c r="G82" i="148"/>
  <c r="P81" i="148"/>
  <c r="O81" i="148"/>
  <c r="K81" i="148"/>
  <c r="I81" i="148"/>
  <c r="G81" i="148"/>
  <c r="P80" i="148"/>
  <c r="O80" i="148"/>
  <c r="K80" i="148"/>
  <c r="I80" i="148"/>
  <c r="G80" i="148"/>
  <c r="P79" i="148"/>
  <c r="O79" i="148"/>
  <c r="K79" i="148"/>
  <c r="I79" i="148"/>
  <c r="G79" i="148"/>
  <c r="P78" i="148"/>
  <c r="O78" i="148"/>
  <c r="K78" i="148"/>
  <c r="I78" i="148"/>
  <c r="G78" i="148"/>
  <c r="P77" i="148"/>
  <c r="O77" i="148"/>
  <c r="K77" i="148"/>
  <c r="I77" i="148"/>
  <c r="G77" i="148"/>
  <c r="P76" i="148"/>
  <c r="O76" i="148"/>
  <c r="K76" i="148"/>
  <c r="I76" i="148"/>
  <c r="G76" i="148"/>
  <c r="P75" i="148"/>
  <c r="O75" i="148"/>
  <c r="K75" i="148"/>
  <c r="I75" i="148"/>
  <c r="G75" i="148"/>
  <c r="P74" i="148"/>
  <c r="O74" i="148"/>
  <c r="K74" i="148"/>
  <c r="I74" i="148"/>
  <c r="G74" i="148"/>
  <c r="P73" i="148"/>
  <c r="K73" i="148"/>
  <c r="I73" i="148"/>
  <c r="G73" i="148"/>
  <c r="P71" i="148"/>
  <c r="O71" i="148"/>
  <c r="K71" i="148"/>
  <c r="G71" i="148"/>
  <c r="P70" i="148"/>
  <c r="O70" i="148"/>
  <c r="N70" i="148"/>
  <c r="K70" i="148"/>
  <c r="G70" i="148"/>
  <c r="P69" i="148"/>
  <c r="O69" i="148"/>
  <c r="N69" i="148"/>
  <c r="K69" i="148"/>
  <c r="G69" i="148"/>
  <c r="N67" i="148"/>
  <c r="F66" i="148" a="1"/>
  <c r="F66" i="148" s="1"/>
  <c r="P65" i="148"/>
  <c r="K65" i="148"/>
  <c r="E65" i="148"/>
  <c r="O64" i="148"/>
  <c r="M64" i="148"/>
  <c r="L64" i="148"/>
  <c r="K64" i="148"/>
  <c r="J64" i="148"/>
  <c r="H64" i="148"/>
  <c r="E57" i="148"/>
  <c r="P57" i="148" s="1"/>
  <c r="O56" i="148"/>
  <c r="N56" i="148"/>
  <c r="L56" i="148"/>
  <c r="K56" i="148"/>
  <c r="H56" i="148"/>
  <c r="F56" i="148"/>
  <c r="P56" i="148" s="1"/>
  <c r="E56" i="148"/>
  <c r="O55" i="148"/>
  <c r="N55" i="148"/>
  <c r="L55" i="148"/>
  <c r="K55" i="148"/>
  <c r="H55" i="148"/>
  <c r="F55" i="148"/>
  <c r="P55" i="148" s="1"/>
  <c r="E55" i="148"/>
  <c r="O54" i="148"/>
  <c r="N54" i="148"/>
  <c r="L54" i="148"/>
  <c r="K54" i="148"/>
  <c r="H54" i="148"/>
  <c r="F54" i="148"/>
  <c r="P54" i="148" s="1"/>
  <c r="E54" i="148"/>
  <c r="O53" i="148"/>
  <c r="N53" i="148"/>
  <c r="L53" i="148"/>
  <c r="K53" i="148"/>
  <c r="H53" i="148"/>
  <c r="F53" i="148"/>
  <c r="P53" i="148" s="1"/>
  <c r="E53" i="148"/>
  <c r="O52" i="148"/>
  <c r="N52" i="148"/>
  <c r="L52" i="148"/>
  <c r="K52" i="148"/>
  <c r="H52" i="148"/>
  <c r="F52" i="148"/>
  <c r="P52" i="148" s="1"/>
  <c r="E52" i="148"/>
  <c r="O51" i="148"/>
  <c r="N51" i="148"/>
  <c r="L51" i="148"/>
  <c r="K51" i="148"/>
  <c r="H51" i="148"/>
  <c r="F51" i="148"/>
  <c r="P51" i="148" s="1"/>
  <c r="E51" i="148"/>
  <c r="O50" i="148"/>
  <c r="N50" i="148"/>
  <c r="L50" i="148"/>
  <c r="K50" i="148"/>
  <c r="H50" i="148"/>
  <c r="F50" i="148"/>
  <c r="P50" i="148" s="1"/>
  <c r="E50" i="148"/>
  <c r="O49" i="148"/>
  <c r="N49" i="148"/>
  <c r="L49" i="148"/>
  <c r="K49" i="148"/>
  <c r="H49" i="148"/>
  <c r="F49" i="148"/>
  <c r="P49" i="148" s="1"/>
  <c r="E49" i="148"/>
  <c r="O48" i="148"/>
  <c r="N48" i="148"/>
  <c r="L48" i="148"/>
  <c r="K48" i="148"/>
  <c r="H48" i="148"/>
  <c r="F48" i="148"/>
  <c r="P48" i="148" s="1"/>
  <c r="E48" i="148"/>
  <c r="O47" i="148"/>
  <c r="N47" i="148"/>
  <c r="L47" i="148"/>
  <c r="K47" i="148"/>
  <c r="H47" i="148"/>
  <c r="F47" i="148"/>
  <c r="P47" i="148" s="1"/>
  <c r="E47" i="148"/>
  <c r="O46" i="148"/>
  <c r="N46" i="148"/>
  <c r="L46" i="148"/>
  <c r="K46" i="148"/>
  <c r="H46" i="148"/>
  <c r="F46" i="148"/>
  <c r="P46" i="148" s="1"/>
  <c r="E46" i="148"/>
  <c r="O45" i="148"/>
  <c r="N45" i="148"/>
  <c r="L45" i="148"/>
  <c r="K45" i="148"/>
  <c r="H45" i="148"/>
  <c r="F45" i="148"/>
  <c r="P45" i="148" s="1"/>
  <c r="E45" i="148"/>
  <c r="O44" i="148"/>
  <c r="N44" i="148"/>
  <c r="L44" i="148"/>
  <c r="K44" i="148"/>
  <c r="H44" i="148"/>
  <c r="F44" i="148"/>
  <c r="P44" i="148" s="1"/>
  <c r="E44" i="148"/>
  <c r="O43" i="148"/>
  <c r="N43" i="148"/>
  <c r="L43" i="148"/>
  <c r="K43" i="148"/>
  <c r="H43" i="148"/>
  <c r="F43" i="148"/>
  <c r="P43" i="148" s="1"/>
  <c r="E43" i="148"/>
  <c r="O42" i="148"/>
  <c r="N42" i="148"/>
  <c r="L42" i="148"/>
  <c r="K42" i="148"/>
  <c r="H42" i="148"/>
  <c r="F42" i="148"/>
  <c r="P42" i="148" s="1"/>
  <c r="E42" i="148"/>
  <c r="O41" i="148"/>
  <c r="N41" i="148"/>
  <c r="L41" i="148"/>
  <c r="K41" i="148"/>
  <c r="H41" i="148"/>
  <c r="F41" i="148"/>
  <c r="P41" i="148" s="1"/>
  <c r="E41" i="148"/>
  <c r="O40" i="148"/>
  <c r="N40" i="148"/>
  <c r="L40" i="148"/>
  <c r="K40" i="148"/>
  <c r="H40" i="148"/>
  <c r="F40" i="148"/>
  <c r="P40" i="148" s="1"/>
  <c r="E40" i="148"/>
  <c r="O39" i="148"/>
  <c r="N39" i="148"/>
  <c r="L39" i="148"/>
  <c r="K39" i="148"/>
  <c r="F39" i="148"/>
  <c r="P39" i="148" s="1"/>
  <c r="E39" i="148"/>
  <c r="O38" i="148"/>
  <c r="N38" i="148"/>
  <c r="L38" i="148"/>
  <c r="K38" i="148"/>
  <c r="H38" i="148"/>
  <c r="F38" i="148"/>
  <c r="P38" i="148" s="1"/>
  <c r="E38" i="148"/>
  <c r="O37" i="148"/>
  <c r="N37" i="148"/>
  <c r="L37" i="148"/>
  <c r="K37" i="148"/>
  <c r="H37" i="148"/>
  <c r="F37" i="148"/>
  <c r="P37" i="148" s="1"/>
  <c r="E37" i="148"/>
  <c r="O36" i="148"/>
  <c r="N36" i="148"/>
  <c r="L36" i="148"/>
  <c r="K36" i="148"/>
  <c r="H36" i="148"/>
  <c r="F36" i="148"/>
  <c r="P36" i="148" s="1"/>
  <c r="E36" i="148"/>
  <c r="O34" i="148"/>
  <c r="N34" i="148"/>
  <c r="K34" i="148"/>
  <c r="H34" i="148"/>
  <c r="F34" i="148"/>
  <c r="P34" i="148" s="1"/>
  <c r="E34" i="148"/>
  <c r="O33" i="148"/>
  <c r="N33" i="148"/>
  <c r="K33" i="148"/>
  <c r="H33" i="148"/>
  <c r="F33" i="148"/>
  <c r="P33" i="148" s="1"/>
  <c r="E33" i="148"/>
  <c r="O32" i="148"/>
  <c r="N32" i="148"/>
  <c r="K32" i="148"/>
  <c r="H32" i="148"/>
  <c r="F32" i="148"/>
  <c r="P32" i="148" s="1"/>
  <c r="E32" i="148"/>
  <c r="O31" i="148"/>
  <c r="N31" i="148"/>
  <c r="K31" i="148"/>
  <c r="H31" i="148"/>
  <c r="F31" i="148"/>
  <c r="P31" i="148" s="1"/>
  <c r="E31" i="148"/>
  <c r="O30" i="148"/>
  <c r="N30" i="148"/>
  <c r="K30" i="148"/>
  <c r="H30" i="148"/>
  <c r="F30" i="148"/>
  <c r="P30" i="148" s="1"/>
  <c r="E30" i="148"/>
  <c r="P28" i="148"/>
  <c r="J28" i="148"/>
  <c r="D28" i="148"/>
  <c r="L28" i="148" s="1"/>
  <c r="M28" i="148" s="1"/>
  <c r="C28" i="148"/>
  <c r="H28" i="148" s="1"/>
  <c r="I28" i="148" s="1"/>
  <c r="O28" i="148" s="1"/>
  <c r="A28" i="148"/>
  <c r="P27" i="148"/>
  <c r="J27" i="148"/>
  <c r="D27" i="148"/>
  <c r="L27" i="148" s="1"/>
  <c r="M27" i="148" s="1"/>
  <c r="C27" i="148"/>
  <c r="H27" i="148" s="1"/>
  <c r="I27" i="148" s="1"/>
  <c r="O27" i="148" s="1"/>
  <c r="A27" i="148"/>
  <c r="P26" i="148"/>
  <c r="J26" i="148"/>
  <c r="E26" i="148" a="1"/>
  <c r="E26" i="148" s="1"/>
  <c r="D26" i="148"/>
  <c r="L26" i="148" s="1"/>
  <c r="M26" i="148" s="1"/>
  <c r="C26" i="148"/>
  <c r="F26" i="148" s="1"/>
  <c r="P25" i="148"/>
  <c r="J25" i="148"/>
  <c r="E25" i="148" a="1"/>
  <c r="E25" i="148" s="1"/>
  <c r="D25" i="148"/>
  <c r="L25" i="148" s="1"/>
  <c r="M25" i="148" s="1"/>
  <c r="C25" i="148"/>
  <c r="H25" i="148" s="1"/>
  <c r="I25" i="148" s="1"/>
  <c r="O25" i="148" s="1"/>
  <c r="P24" i="148"/>
  <c r="J24" i="148"/>
  <c r="E24" i="148" a="1"/>
  <c r="E24" i="148" s="1"/>
  <c r="D24" i="148"/>
  <c r="L24" i="148" s="1"/>
  <c r="M24" i="148" s="1"/>
  <c r="C24" i="148"/>
  <c r="F24" i="148" s="1"/>
  <c r="P23" i="148"/>
  <c r="J23" i="148"/>
  <c r="E23" i="148" a="1"/>
  <c r="E23" i="148" s="1"/>
  <c r="D23" i="148"/>
  <c r="L23" i="148" s="1"/>
  <c r="M23" i="148" s="1"/>
  <c r="C23" i="148"/>
  <c r="H23" i="148" s="1"/>
  <c r="I23" i="148" s="1"/>
  <c r="O23" i="148" s="1"/>
  <c r="P22" i="148"/>
  <c r="J22" i="148"/>
  <c r="E22" i="148" a="1"/>
  <c r="E22" i="148" s="1"/>
  <c r="D22" i="148"/>
  <c r="L22" i="148" s="1"/>
  <c r="M22" i="148" s="1"/>
  <c r="C22" i="148"/>
  <c r="F22" i="148" s="1"/>
  <c r="P21" i="148"/>
  <c r="L21" i="148"/>
  <c r="M21" i="148" s="1"/>
  <c r="J21" i="148"/>
  <c r="E21" i="148" a="1"/>
  <c r="E21" i="148" s="1"/>
  <c r="D21" i="148"/>
  <c r="C21" i="148"/>
  <c r="H21" i="148" s="1"/>
  <c r="I21" i="148" s="1"/>
  <c r="O21" i="148" s="1"/>
  <c r="J20" i="148"/>
  <c r="D20" i="148"/>
  <c r="L20" i="148" s="1"/>
  <c r="M20" i="148" s="1"/>
  <c r="C20" i="148"/>
  <c r="F20" i="148" s="1"/>
  <c r="J19" i="148"/>
  <c r="D19" i="148"/>
  <c r="L19" i="148" s="1"/>
  <c r="M19" i="148" s="1"/>
  <c r="C19" i="148"/>
  <c r="F19" i="148" s="1"/>
  <c r="N17" i="148"/>
  <c r="E17" i="148"/>
  <c r="P17" i="148" s="1"/>
  <c r="P16" i="148"/>
  <c r="N16" i="148"/>
  <c r="E16" i="148"/>
  <c r="N15" i="148"/>
  <c r="J15" i="148"/>
  <c r="J16" i="148" s="1"/>
  <c r="E15" i="148"/>
  <c r="P15" i="148" s="1"/>
  <c r="J14" i="148"/>
  <c r="U6" i="148" s="1"/>
  <c r="P13" i="148"/>
  <c r="O13" i="148"/>
  <c r="P11" i="148"/>
  <c r="J11" i="148"/>
  <c r="J10" i="148"/>
  <c r="E10" i="148"/>
  <c r="O9" i="148"/>
  <c r="J8" i="148"/>
  <c r="J9" i="148" s="1"/>
  <c r="S10" i="148" s="1"/>
  <c r="L7" i="148"/>
  <c r="F7" i="148"/>
  <c r="P5" i="148"/>
  <c r="P8" i="148" s="1"/>
  <c r="N5" i="148"/>
  <c r="M5" i="148"/>
  <c r="K5" i="148"/>
  <c r="J5" i="148"/>
  <c r="J13" i="148" s="1"/>
  <c r="N4" i="148"/>
  <c r="M4" i="148"/>
  <c r="J4" i="148"/>
  <c r="F4" i="148"/>
  <c r="E4" i="148"/>
  <c r="E5" i="148" s="1"/>
  <c r="D27" i="3"/>
  <c r="D28" i="3"/>
  <c r="D29" i="3"/>
  <c r="D30" i="3"/>
  <c r="D31" i="3"/>
  <c r="D32" i="3"/>
  <c r="D33" i="3"/>
  <c r="D34" i="3"/>
  <c r="C27" i="3"/>
  <c r="C28" i="3"/>
  <c r="C29" i="3"/>
  <c r="C30" i="3" s="1"/>
  <c r="C31" i="3" s="1"/>
  <c r="C32" i="3" s="1"/>
  <c r="C33" i="3" s="1"/>
  <c r="C34" i="3" s="1"/>
  <c r="D19" i="3"/>
  <c r="D20" i="3"/>
  <c r="D21" i="3"/>
  <c r="D22" i="3"/>
  <c r="D23" i="3"/>
  <c r="D24" i="3"/>
  <c r="D25" i="3"/>
  <c r="D26" i="3"/>
  <c r="C21" i="3"/>
  <c r="C22" i="3"/>
  <c r="C23" i="3" s="1"/>
  <c r="C24" i="3" s="1"/>
  <c r="C25" i="3" s="1"/>
  <c r="C26" i="3" s="1"/>
  <c r="C20" i="3"/>
  <c r="S9" i="172" l="1"/>
  <c r="S9" i="176"/>
  <c r="M11" i="148"/>
  <c r="S6" i="148" s="1"/>
  <c r="P10" i="175"/>
  <c r="S9" i="175"/>
  <c r="P67" i="172"/>
  <c r="P19" i="171"/>
  <c r="P8" i="171"/>
  <c r="F25" i="148"/>
  <c r="F23" i="148"/>
  <c r="H22" i="148"/>
  <c r="I22" i="148" s="1"/>
  <c r="O22" i="148" s="1"/>
  <c r="H26" i="148"/>
  <c r="I26" i="148" s="1"/>
  <c r="O26" i="148" s="1"/>
  <c r="E9" i="148"/>
  <c r="P9" i="148" s="1"/>
  <c r="H24" i="148"/>
  <c r="I24" i="148" s="1"/>
  <c r="O24" i="148" s="1"/>
  <c r="E7" i="148" a="1"/>
  <c r="E7" i="148" s="1"/>
  <c r="P7" i="148" s="1" a="1"/>
  <c r="P7" i="148" s="1"/>
  <c r="F21" i="148"/>
  <c r="H19" i="171"/>
  <c r="H20" i="148"/>
  <c r="I20" i="148" s="1"/>
  <c r="O20" i="148" s="1"/>
  <c r="H19" i="148"/>
  <c r="F19" i="175"/>
  <c r="P19" i="175"/>
  <c r="E64" i="175"/>
  <c r="F25" i="175"/>
  <c r="P20" i="175"/>
  <c r="P14" i="175"/>
  <c r="K14" i="175"/>
  <c r="J67" i="175"/>
  <c r="M11" i="175"/>
  <c r="S6" i="175" s="1"/>
  <c r="F21" i="175"/>
  <c r="P64" i="175"/>
  <c r="P67" i="175" s="1"/>
  <c r="E5" i="175"/>
  <c r="L66" i="175"/>
  <c r="L67" i="175" s="1"/>
  <c r="F28" i="175"/>
  <c r="E7" i="175" a="1"/>
  <c r="E7" i="175" s="1"/>
  <c r="P7" i="175" s="1" a="1"/>
  <c r="P7" i="175" s="1"/>
  <c r="F23" i="175"/>
  <c r="F22" i="172"/>
  <c r="P20" i="172"/>
  <c r="P10" i="172"/>
  <c r="P64" i="171"/>
  <c r="P67" i="171" s="1"/>
  <c r="E9" i="171"/>
  <c r="P9" i="171" s="1"/>
  <c r="P91" i="171" s="1"/>
  <c r="Z6" i="171" s="1"/>
  <c r="P2" i="171" s="1"/>
  <c r="E20" i="171" a="1"/>
  <c r="E20" i="171" s="1"/>
  <c r="E7" i="171" a="1"/>
  <c r="E7" i="171" s="1"/>
  <c r="P7" i="171" s="1" a="1"/>
  <c r="P7" i="171" s="1"/>
  <c r="F23" i="171"/>
  <c r="L66" i="171"/>
  <c r="L67" i="171" s="1"/>
  <c r="F25" i="171"/>
  <c r="P14" i="171"/>
  <c r="M11" i="171"/>
  <c r="S6" i="171" s="1"/>
  <c r="F25" i="172"/>
  <c r="E5" i="172"/>
  <c r="N7" i="172"/>
  <c r="S11" i="172" s="1"/>
  <c r="F19" i="172"/>
  <c r="P19" i="172"/>
  <c r="E20" i="172" a="1"/>
  <c r="E20" i="172" s="1"/>
  <c r="F20" i="172"/>
  <c r="F26" i="172"/>
  <c r="M11" i="172"/>
  <c r="S6" i="172" s="1"/>
  <c r="F23" i="172"/>
  <c r="J67" i="172"/>
  <c r="P14" i="172"/>
  <c r="E64" i="172"/>
  <c r="F21" i="172"/>
  <c r="H24" i="172"/>
  <c r="I24" i="172" s="1"/>
  <c r="O24" i="172" s="1"/>
  <c r="A7" i="172"/>
  <c r="E7" i="172" a="1"/>
  <c r="E7" i="172" s="1"/>
  <c r="P7" i="172" s="1" a="1"/>
  <c r="P7" i="172" s="1"/>
  <c r="P91" i="172" s="1"/>
  <c r="Z6" i="172" s="1"/>
  <c r="P2" i="172" s="1"/>
  <c r="H28" i="172"/>
  <c r="I28" i="172" s="1"/>
  <c r="O28" i="172" s="1"/>
  <c r="E19" i="172" a="1"/>
  <c r="E19" i="172" s="1"/>
  <c r="H27" i="172"/>
  <c r="I27" i="172" s="1"/>
  <c r="O27" i="172" s="1"/>
  <c r="N7" i="175"/>
  <c r="S11" i="175" s="1"/>
  <c r="F20" i="176"/>
  <c r="N7" i="176"/>
  <c r="S11" i="176" s="1"/>
  <c r="H28" i="176"/>
  <c r="I28" i="176" s="1"/>
  <c r="O28" i="176" s="1"/>
  <c r="A7" i="176"/>
  <c r="F24" i="176"/>
  <c r="M11" i="176"/>
  <c r="S6" i="176" s="1"/>
  <c r="P14" i="176"/>
  <c r="J67" i="176"/>
  <c r="P20" i="176"/>
  <c r="P64" i="176"/>
  <c r="P67" i="176" s="1"/>
  <c r="E7" i="176" a="1"/>
  <c r="E7" i="176" s="1"/>
  <c r="P7" i="176" s="1" a="1"/>
  <c r="P7" i="176" s="1"/>
  <c r="F22" i="176"/>
  <c r="F26" i="176"/>
  <c r="P8" i="176"/>
  <c r="P19" i="176"/>
  <c r="F21" i="171"/>
  <c r="A7" i="171"/>
  <c r="E5" i="171"/>
  <c r="E64" i="171"/>
  <c r="J67" i="171"/>
  <c r="J7" i="176"/>
  <c r="K14" i="176"/>
  <c r="I19" i="176"/>
  <c r="O19" i="176" s="1"/>
  <c r="E64" i="176"/>
  <c r="I64" i="176"/>
  <c r="E20" i="176" a="1"/>
  <c r="E20" i="176" s="1"/>
  <c r="E9" i="176"/>
  <c r="P9" i="176" s="1"/>
  <c r="E19" i="176" a="1"/>
  <c r="E19" i="176" s="1"/>
  <c r="H66" i="176"/>
  <c r="S12" i="176" s="1"/>
  <c r="F27" i="176"/>
  <c r="L65" i="176"/>
  <c r="L66" i="176" s="1"/>
  <c r="L67" i="176" s="1"/>
  <c r="F19" i="176"/>
  <c r="F21" i="176"/>
  <c r="F23" i="176"/>
  <c r="F25" i="176"/>
  <c r="A7" i="175"/>
  <c r="J7" i="175"/>
  <c r="I19" i="175"/>
  <c r="O19" i="175" s="1"/>
  <c r="I64" i="175"/>
  <c r="F20" i="175"/>
  <c r="F22" i="175"/>
  <c r="F24" i="175"/>
  <c r="F26" i="175"/>
  <c r="H66" i="175"/>
  <c r="S12" i="175" s="1"/>
  <c r="F27" i="175"/>
  <c r="J7" i="172"/>
  <c r="I19" i="172"/>
  <c r="O19" i="172" s="1"/>
  <c r="K14" i="172"/>
  <c r="I64" i="172"/>
  <c r="L65" i="172"/>
  <c r="L66" i="172" s="1"/>
  <c r="L67" i="172" s="1"/>
  <c r="H66" i="172"/>
  <c r="S12" i="172" s="1"/>
  <c r="N7" i="171"/>
  <c r="S11" i="171" s="1"/>
  <c r="K14" i="171"/>
  <c r="H28" i="171"/>
  <c r="I28" i="171" s="1"/>
  <c r="O28" i="171" s="1"/>
  <c r="I64" i="171"/>
  <c r="J7" i="171"/>
  <c r="F20" i="171"/>
  <c r="F22" i="171"/>
  <c r="F24" i="171"/>
  <c r="F26" i="171"/>
  <c r="P20" i="171"/>
  <c r="H66" i="171"/>
  <c r="S12" i="171" s="1"/>
  <c r="F27" i="171"/>
  <c r="E64" i="148"/>
  <c r="A7" i="148"/>
  <c r="N7" i="148"/>
  <c r="S11" i="148" s="1"/>
  <c r="P64" i="148"/>
  <c r="P67" i="148" s="1"/>
  <c r="L65" i="148"/>
  <c r="L66" i="148" s="1"/>
  <c r="L67" i="148" s="1"/>
  <c r="J67" i="148"/>
  <c r="K14" i="148"/>
  <c r="P19" i="148"/>
  <c r="P14" i="148"/>
  <c r="I64" i="148"/>
  <c r="J7" i="148"/>
  <c r="E20" i="148" a="1"/>
  <c r="E20" i="148" s="1"/>
  <c r="F28" i="148"/>
  <c r="P20" i="148"/>
  <c r="E19" i="148" a="1"/>
  <c r="E19" i="148" s="1"/>
  <c r="H66" i="148"/>
  <c r="P10" i="148"/>
  <c r="F27" i="148"/>
  <c r="P91" i="176" l="1"/>
  <c r="Z6" i="176" s="1"/>
  <c r="P2" i="176" s="1"/>
  <c r="W6" i="172"/>
  <c r="W6" i="171"/>
  <c r="I19" i="171"/>
  <c r="O19" i="171" s="1"/>
  <c r="S9" i="171"/>
  <c r="E2" i="171"/>
  <c r="I19" i="148"/>
  <c r="O19" i="148" s="1"/>
  <c r="S9" i="148"/>
  <c r="P66" i="148" a="1"/>
  <c r="P66" i="148" s="1"/>
  <c r="P91" i="148" s="1"/>
  <c r="S12" i="148"/>
  <c r="E2" i="148"/>
  <c r="E2" i="175"/>
  <c r="E2" i="172"/>
  <c r="E2" i="176"/>
  <c r="I66" i="176"/>
  <c r="O73" i="176" s="1"/>
  <c r="S7" i="176" s="1"/>
  <c r="P66" i="176" a="1"/>
  <c r="P66" i="176" s="1"/>
  <c r="I66" i="175"/>
  <c r="O73" i="175" s="1"/>
  <c r="S7" i="175" s="1"/>
  <c r="P66" i="175" a="1"/>
  <c r="P66" i="175" s="1"/>
  <c r="P91" i="175" s="1"/>
  <c r="Z6" i="175" s="1"/>
  <c r="P2" i="175" s="1"/>
  <c r="I66" i="172"/>
  <c r="O73" i="172" s="1"/>
  <c r="S7" i="172" s="1"/>
  <c r="P66" i="172" a="1"/>
  <c r="P66" i="172" s="1"/>
  <c r="I66" i="171"/>
  <c r="O73" i="171" s="1"/>
  <c r="P66" i="171" a="1"/>
  <c r="P66" i="171" s="1"/>
  <c r="I66" i="148"/>
  <c r="O42" i="67"/>
  <c r="O43" i="67"/>
  <c r="O44" i="67"/>
  <c r="O45" i="67"/>
  <c r="O46" i="67"/>
  <c r="O47" i="67"/>
  <c r="O41" i="67"/>
  <c r="E56" i="6"/>
  <c r="E55" i="6"/>
  <c r="E54" i="6"/>
  <c r="E53" i="6"/>
  <c r="E52" i="6"/>
  <c r="E51" i="6"/>
  <c r="E50" i="6"/>
  <c r="E49" i="6"/>
  <c r="E48" i="6"/>
  <c r="E47" i="6"/>
  <c r="E46" i="6"/>
  <c r="E45" i="6"/>
  <c r="E44" i="6"/>
  <c r="E43" i="6"/>
  <c r="E42" i="6"/>
  <c r="E41" i="6"/>
  <c r="E40" i="6"/>
  <c r="E37" i="6"/>
  <c r="O8" i="67"/>
  <c r="E57" i="6"/>
  <c r="F56" i="6"/>
  <c r="F55" i="6"/>
  <c r="F54" i="6"/>
  <c r="F53" i="6"/>
  <c r="F52" i="6"/>
  <c r="F51" i="6"/>
  <c r="F50" i="6"/>
  <c r="F49" i="6"/>
  <c r="F48" i="6"/>
  <c r="F47" i="6"/>
  <c r="F46" i="6"/>
  <c r="F45" i="6"/>
  <c r="F44" i="6"/>
  <c r="F43" i="6"/>
  <c r="F42" i="6"/>
  <c r="F41" i="6"/>
  <c r="F40" i="6"/>
  <c r="B19" i="6"/>
  <c r="J2" i="71"/>
  <c r="A3" i="71"/>
  <c r="L3" i="71"/>
  <c r="A2" i="71"/>
  <c r="G2" i="71"/>
  <c r="K3" i="71"/>
  <c r="I2" i="71"/>
  <c r="G3" i="71"/>
  <c r="K2" i="71"/>
  <c r="L2" i="71"/>
  <c r="E3" i="71"/>
  <c r="C3" i="71"/>
  <c r="C2" i="71"/>
  <c r="E2" i="71"/>
  <c r="J3" i="71"/>
  <c r="D3" i="71"/>
  <c r="N3" i="71"/>
  <c r="I3" i="71"/>
  <c r="W6" i="175" l="1"/>
  <c r="W6" i="176"/>
  <c r="Z6" i="148"/>
  <c r="P2" i="148" s="1"/>
  <c r="W6" i="148"/>
  <c r="S7" i="171"/>
  <c r="E17" i="6"/>
  <c r="E16" i="6"/>
  <c r="E15" i="6"/>
  <c r="J8" i="6"/>
  <c r="P92" i="176" l="1"/>
  <c r="P92" i="175"/>
  <c r="P92" i="171"/>
  <c r="P92" i="148"/>
  <c r="F72" i="2"/>
  <c r="F68" i="2"/>
  <c r="P92" i="172" l="1"/>
  <c r="N8" i="1"/>
  <c r="N7" i="1"/>
  <c r="N6" i="1"/>
  <c r="N5" i="1"/>
  <c r="N4" i="1"/>
  <c r="N149" i="1"/>
  <c r="N148" i="1"/>
  <c r="N147" i="1"/>
  <c r="N146" i="1"/>
  <c r="N41" i="1"/>
  <c r="N205" i="1"/>
  <c r="N204" i="1"/>
  <c r="N203" i="1"/>
  <c r="N202" i="1"/>
  <c r="N224" i="1"/>
  <c r="B20" i="6"/>
  <c r="N164" i="1"/>
  <c r="N163" i="1"/>
  <c r="N207" i="1" l="1"/>
  <c r="N206" i="1"/>
  <c r="N45" i="1"/>
  <c r="N44" i="1"/>
  <c r="N67" i="1" l="1"/>
  <c r="N66" i="1"/>
  <c r="N150" i="1" l="1"/>
  <c r="N246" i="1"/>
  <c r="N229" i="1" l="1"/>
  <c r="N228" i="1"/>
  <c r="N227" i="1"/>
  <c r="N226" i="1"/>
  <c r="N225" i="1"/>
  <c r="N181" i="1"/>
  <c r="J8" i="67" l="1"/>
  <c r="S10" i="67" s="1"/>
  <c r="O9" i="6"/>
  <c r="N2" i="71"/>
  <c r="L56" i="6" l="1"/>
  <c r="L55" i="6"/>
  <c r="L54" i="6"/>
  <c r="L53" i="6"/>
  <c r="L52" i="6"/>
  <c r="L51" i="6"/>
  <c r="L50" i="6"/>
  <c r="L49" i="6"/>
  <c r="L48" i="6"/>
  <c r="L47" i="6"/>
  <c r="L46" i="6"/>
  <c r="L45" i="6"/>
  <c r="L44" i="6"/>
  <c r="L43" i="6"/>
  <c r="L42" i="6"/>
  <c r="L41" i="6"/>
  <c r="L40" i="6"/>
  <c r="L39" i="6"/>
  <c r="L38" i="6"/>
  <c r="L37" i="6"/>
  <c r="N80" i="1"/>
  <c r="N79" i="1"/>
  <c r="N78" i="1"/>
  <c r="N77" i="1"/>
  <c r="L36" i="6"/>
  <c r="A7" i="6" l="1"/>
  <c r="J7" i="6"/>
  <c r="N7" i="6"/>
  <c r="N64" i="1" l="1"/>
  <c r="N34" i="1" l="1"/>
  <c r="N110" i="1" l="1"/>
  <c r="N109" i="1"/>
  <c r="N108" i="1"/>
  <c r="N36" i="1" l="1"/>
  <c r="N35" i="1"/>
  <c r="N49" i="1" l="1"/>
  <c r="N48" i="1"/>
  <c r="N47" i="1"/>
  <c r="N46" i="1"/>
  <c r="O33" i="67"/>
  <c r="M33" i="67"/>
  <c r="F30" i="67"/>
  <c r="P30" i="67" s="1"/>
  <c r="F29" i="67"/>
  <c r="P29" i="67" s="1"/>
  <c r="F28" i="67"/>
  <c r="P28" i="67" s="1"/>
  <c r="F27" i="67"/>
  <c r="P27" i="67" s="1"/>
  <c r="F26" i="67"/>
  <c r="P26" i="67" s="1"/>
  <c r="F25" i="67"/>
  <c r="P25" i="67" s="1"/>
  <c r="F24" i="67"/>
  <c r="P24" i="67" s="1"/>
  <c r="F23" i="67"/>
  <c r="P23" i="67" s="1"/>
  <c r="F22" i="67"/>
  <c r="P22" i="67" s="1"/>
  <c r="F21" i="67"/>
  <c r="P21" i="67" s="1"/>
  <c r="F20" i="67"/>
  <c r="P20" i="67" s="1"/>
  <c r="F19" i="67"/>
  <c r="P19" i="67" s="1"/>
  <c r="F18" i="67"/>
  <c r="P18" i="67" s="1"/>
  <c r="F17" i="67"/>
  <c r="P17" i="67" s="1"/>
  <c r="F16" i="67"/>
  <c r="P16" i="67" s="1"/>
  <c r="F15" i="67"/>
  <c r="P15" i="67" s="1"/>
  <c r="F14" i="67"/>
  <c r="P14" i="67" s="1"/>
  <c r="P48" i="67" s="1"/>
  <c r="L33" i="67"/>
  <c r="J33" i="67"/>
  <c r="H33" i="67"/>
  <c r="I33" i="67" s="1"/>
  <c r="K33" i="67"/>
  <c r="O30" i="67"/>
  <c r="N30" i="67"/>
  <c r="K30" i="67"/>
  <c r="H30" i="67"/>
  <c r="E30" i="67"/>
  <c r="O29" i="67"/>
  <c r="N29" i="67"/>
  <c r="K29" i="67"/>
  <c r="H29" i="67"/>
  <c r="E29" i="67"/>
  <c r="O28" i="67"/>
  <c r="N28" i="67"/>
  <c r="K28" i="67"/>
  <c r="H28" i="67"/>
  <c r="E28" i="67"/>
  <c r="O27" i="67"/>
  <c r="N27" i="67"/>
  <c r="K27" i="67"/>
  <c r="H27" i="67"/>
  <c r="E27" i="67"/>
  <c r="O26" i="67"/>
  <c r="N26" i="67"/>
  <c r="K26" i="67"/>
  <c r="H26" i="67"/>
  <c r="E26" i="67"/>
  <c r="O25" i="67"/>
  <c r="N25" i="67"/>
  <c r="K25" i="67"/>
  <c r="H25" i="67"/>
  <c r="E25" i="67"/>
  <c r="O24" i="67"/>
  <c r="N24" i="67"/>
  <c r="K24" i="67"/>
  <c r="H24" i="67"/>
  <c r="E24" i="67"/>
  <c r="O23" i="67"/>
  <c r="N23" i="67"/>
  <c r="K23" i="67"/>
  <c r="H23" i="67"/>
  <c r="E23" i="67"/>
  <c r="O22" i="67"/>
  <c r="N22" i="67"/>
  <c r="K22" i="67"/>
  <c r="H22" i="67"/>
  <c r="E22" i="67"/>
  <c r="O21" i="67"/>
  <c r="N21" i="67"/>
  <c r="K21" i="67"/>
  <c r="H21" i="67"/>
  <c r="E21" i="67"/>
  <c r="O20" i="67"/>
  <c r="N20" i="67"/>
  <c r="K20" i="67"/>
  <c r="H20" i="67"/>
  <c r="E20" i="67"/>
  <c r="O19" i="67"/>
  <c r="N19" i="67"/>
  <c r="K19" i="67"/>
  <c r="H19" i="67"/>
  <c r="E19" i="67"/>
  <c r="O18" i="67"/>
  <c r="N18" i="67"/>
  <c r="K18" i="67"/>
  <c r="H18" i="67"/>
  <c r="E18" i="67"/>
  <c r="O17" i="67"/>
  <c r="N17" i="67"/>
  <c r="K17" i="67"/>
  <c r="H17" i="67"/>
  <c r="E17" i="67"/>
  <c r="N3" i="1"/>
  <c r="P5" i="67"/>
  <c r="P47" i="67"/>
  <c r="K47" i="67"/>
  <c r="I47" i="67"/>
  <c r="G47" i="67"/>
  <c r="P46" i="67"/>
  <c r="K46" i="67"/>
  <c r="I46" i="67"/>
  <c r="G46" i="67"/>
  <c r="P45" i="67"/>
  <c r="K45" i="67"/>
  <c r="I45" i="67"/>
  <c r="G45" i="67"/>
  <c r="P44" i="67"/>
  <c r="K44" i="67"/>
  <c r="I44" i="67"/>
  <c r="G44" i="67"/>
  <c r="P43" i="67"/>
  <c r="K43" i="67"/>
  <c r="I43" i="67"/>
  <c r="G43" i="67"/>
  <c r="P42" i="67"/>
  <c r="K42" i="67"/>
  <c r="I42" i="67"/>
  <c r="G42" i="67"/>
  <c r="P41" i="67"/>
  <c r="K41" i="67"/>
  <c r="I41" i="67"/>
  <c r="G41" i="67"/>
  <c r="P39" i="67"/>
  <c r="O39" i="67"/>
  <c r="K39" i="67"/>
  <c r="G39" i="67"/>
  <c r="P38" i="67"/>
  <c r="O38" i="67"/>
  <c r="N38" i="67"/>
  <c r="K38" i="67"/>
  <c r="G38" i="67"/>
  <c r="P37" i="67"/>
  <c r="O37" i="67"/>
  <c r="N37" i="67"/>
  <c r="K37" i="67"/>
  <c r="G37" i="67"/>
  <c r="N35" i="67"/>
  <c r="F34" i="67" a="1"/>
  <c r="F34" i="67" s="1"/>
  <c r="O16" i="67"/>
  <c r="N16" i="67"/>
  <c r="K16" i="67"/>
  <c r="H16" i="67"/>
  <c r="E16" i="67"/>
  <c r="O15" i="67"/>
  <c r="N15" i="67"/>
  <c r="K15" i="67"/>
  <c r="H15" i="67"/>
  <c r="E15" i="67"/>
  <c r="O14" i="67"/>
  <c r="N14" i="67"/>
  <c r="K14" i="67"/>
  <c r="H14" i="67"/>
  <c r="E14" i="67"/>
  <c r="P11" i="67"/>
  <c r="O11" i="67"/>
  <c r="P9" i="67"/>
  <c r="J9" i="67"/>
  <c r="K12" i="67"/>
  <c r="F7" i="67"/>
  <c r="N5" i="67"/>
  <c r="M5" i="67"/>
  <c r="K5" i="67"/>
  <c r="J5" i="67"/>
  <c r="F4" i="67"/>
  <c r="M3" i="71"/>
  <c r="Z6" i="67" l="1"/>
  <c r="P2" i="67" s="1"/>
  <c r="W6" i="67"/>
  <c r="S11" i="67"/>
  <c r="P12" i="67"/>
  <c r="S7" i="67"/>
  <c r="P33" i="67"/>
  <c r="P35" i="67" s="1"/>
  <c r="L34" i="67"/>
  <c r="J11" i="67"/>
  <c r="J12" i="67"/>
  <c r="U6" i="67" s="1"/>
  <c r="J35" i="67"/>
  <c r="H34" i="67"/>
  <c r="S12" i="67" s="1"/>
  <c r="E7" i="67" a="1"/>
  <c r="E7" i="67" s="1"/>
  <c r="P7" i="67" s="1" a="1"/>
  <c r="P7" i="67" s="1"/>
  <c r="E5" i="67"/>
  <c r="P8" i="67"/>
  <c r="L35" i="67"/>
  <c r="N162" i="1"/>
  <c r="N161" i="1"/>
  <c r="F3" i="71"/>
  <c r="P34" i="67" l="1" a="1"/>
  <c r="P34" i="67" s="1"/>
  <c r="E2" i="67"/>
  <c r="I34" i="67"/>
  <c r="P28" i="6"/>
  <c r="P27" i="6"/>
  <c r="P26" i="6"/>
  <c r="P25" i="6"/>
  <c r="P24" i="6"/>
  <c r="P23" i="6"/>
  <c r="P22" i="6"/>
  <c r="N12" i="1" l="1"/>
  <c r="N141" i="1" l="1"/>
  <c r="N140" i="1"/>
  <c r="N139" i="1"/>
  <c r="F7" i="6"/>
  <c r="N138" i="1"/>
  <c r="N117" i="1"/>
  <c r="N116" i="1"/>
  <c r="N118" i="1"/>
  <c r="N15" i="6"/>
  <c r="N62" i="1" l="1"/>
  <c r="H64" i="6" l="1"/>
  <c r="N196" i="1"/>
  <c r="N195" i="1"/>
  <c r="N194" i="1"/>
  <c r="E10" i="6" l="1"/>
  <c r="E4" i="6"/>
  <c r="E39" i="6" l="1"/>
  <c r="F39" i="6"/>
  <c r="F37" i="6"/>
  <c r="E38" i="6"/>
  <c r="E36" i="6"/>
  <c r="F38" i="6"/>
  <c r="E9" i="6"/>
  <c r="F36" i="6"/>
  <c r="E20" i="6" a="1"/>
  <c r="E20" i="6" s="1"/>
  <c r="E19" i="6" a="1"/>
  <c r="E19" i="6" s="1"/>
  <c r="E5" i="6"/>
  <c r="E7" i="6" a="1"/>
  <c r="E7" i="6" s="1"/>
  <c r="P7" i="6" s="1" a="1"/>
  <c r="P7" i="6" s="1"/>
  <c r="N70" i="1" l="1"/>
  <c r="D19" i="6"/>
  <c r="N122" i="1" l="1"/>
  <c r="N223" i="1" l="1"/>
  <c r="N114" i="1"/>
  <c r="N113" i="1"/>
  <c r="N112" i="1"/>
  <c r="N173" i="1"/>
  <c r="N172" i="1"/>
  <c r="N171" i="1"/>
  <c r="N76" i="1"/>
  <c r="N75" i="1"/>
  <c r="N74" i="1"/>
  <c r="N153" i="1"/>
  <c r="N152" i="1"/>
  <c r="N151" i="1"/>
  <c r="N121" i="1"/>
  <c r="N120" i="1"/>
  <c r="J64" i="6" l="1"/>
  <c r="G90" i="6"/>
  <c r="G89" i="6"/>
  <c r="G88" i="6"/>
  <c r="G87" i="6"/>
  <c r="G86" i="6"/>
  <c r="G85" i="6"/>
  <c r="G84" i="6"/>
  <c r="G83" i="6"/>
  <c r="G82" i="6"/>
  <c r="G81" i="6"/>
  <c r="G80" i="6"/>
  <c r="G79" i="6"/>
  <c r="G78" i="6"/>
  <c r="G77" i="6"/>
  <c r="G76" i="6"/>
  <c r="G75" i="6"/>
  <c r="G74" i="6"/>
  <c r="G73" i="6"/>
  <c r="H56" i="6"/>
  <c r="H55" i="6"/>
  <c r="H54" i="6"/>
  <c r="H53" i="6"/>
  <c r="H52" i="6"/>
  <c r="H51" i="6"/>
  <c r="H50" i="6"/>
  <c r="H49" i="6"/>
  <c r="H48" i="6"/>
  <c r="H47" i="6"/>
  <c r="H46" i="6"/>
  <c r="H45" i="6"/>
  <c r="H44" i="6"/>
  <c r="H43" i="6"/>
  <c r="H42" i="6"/>
  <c r="H41" i="6"/>
  <c r="H40" i="6"/>
  <c r="H39" i="6"/>
  <c r="H38" i="6"/>
  <c r="H37" i="6"/>
  <c r="H36" i="6"/>
  <c r="H34" i="6"/>
  <c r="H33" i="6"/>
  <c r="H32" i="6"/>
  <c r="H31" i="6"/>
  <c r="H30" i="6"/>
  <c r="J67" i="6" l="1"/>
  <c r="N4" i="6"/>
  <c r="J15" i="6"/>
  <c r="J16" i="6" s="1"/>
  <c r="N16" i="6" s="1"/>
  <c r="P90" i="6"/>
  <c r="K90" i="6"/>
  <c r="I90" i="6"/>
  <c r="P89" i="6"/>
  <c r="K89" i="6"/>
  <c r="I89" i="6"/>
  <c r="P88" i="6"/>
  <c r="K88" i="6"/>
  <c r="I88" i="6"/>
  <c r="P87" i="6"/>
  <c r="K87" i="6"/>
  <c r="I87" i="6"/>
  <c r="P86" i="6"/>
  <c r="K86" i="6"/>
  <c r="I86" i="6"/>
  <c r="P85" i="6"/>
  <c r="K85" i="6"/>
  <c r="I85" i="6"/>
  <c r="P84" i="6"/>
  <c r="K84" i="6"/>
  <c r="I84" i="6"/>
  <c r="P83" i="6"/>
  <c r="K83" i="6"/>
  <c r="I83" i="6"/>
  <c r="P82" i="6"/>
  <c r="K82" i="6"/>
  <c r="I82" i="6"/>
  <c r="P81" i="6"/>
  <c r="K81" i="6"/>
  <c r="I81" i="6"/>
  <c r="P80" i="6"/>
  <c r="K80" i="6"/>
  <c r="I80" i="6"/>
  <c r="P79" i="6"/>
  <c r="K79" i="6"/>
  <c r="I79" i="6"/>
  <c r="P78" i="6"/>
  <c r="K78" i="6"/>
  <c r="I78" i="6"/>
  <c r="P77" i="6"/>
  <c r="K77" i="6"/>
  <c r="I77" i="6"/>
  <c r="P76" i="6"/>
  <c r="K76" i="6"/>
  <c r="I76" i="6"/>
  <c r="P75" i="6"/>
  <c r="K75" i="6"/>
  <c r="I75" i="6"/>
  <c r="P74" i="6"/>
  <c r="K74" i="6"/>
  <c r="I74" i="6"/>
  <c r="P73" i="6"/>
  <c r="K73" i="6"/>
  <c r="I73" i="6"/>
  <c r="P71" i="6"/>
  <c r="O71" i="6"/>
  <c r="K71" i="6"/>
  <c r="G71" i="6"/>
  <c r="P70" i="6"/>
  <c r="O70" i="6"/>
  <c r="N70" i="6"/>
  <c r="K70" i="6"/>
  <c r="G70" i="6"/>
  <c r="P69" i="6"/>
  <c r="O69" i="6"/>
  <c r="N69" i="6"/>
  <c r="K69" i="6"/>
  <c r="G69" i="6"/>
  <c r="N67" i="6"/>
  <c r="F66" i="6" a="1"/>
  <c r="F66" i="6" s="1"/>
  <c r="P65" i="6"/>
  <c r="K65" i="6"/>
  <c r="E65" i="6"/>
  <c r="O64" i="6"/>
  <c r="M64" i="6"/>
  <c r="L64" i="6"/>
  <c r="P64" i="6" s="1"/>
  <c r="K64" i="6"/>
  <c r="P57" i="6"/>
  <c r="O56" i="6"/>
  <c r="N56" i="6"/>
  <c r="K56" i="6"/>
  <c r="P56" i="6"/>
  <c r="O55" i="6"/>
  <c r="N55" i="6"/>
  <c r="K55" i="6"/>
  <c r="P55" i="6"/>
  <c r="O54" i="6"/>
  <c r="N54" i="6"/>
  <c r="K54" i="6"/>
  <c r="P54" i="6"/>
  <c r="O53" i="6"/>
  <c r="N53" i="6"/>
  <c r="K53" i="6"/>
  <c r="P53" i="6"/>
  <c r="O52" i="6"/>
  <c r="N52" i="6"/>
  <c r="K52" i="6"/>
  <c r="P52" i="6"/>
  <c r="O51" i="6"/>
  <c r="N51" i="6"/>
  <c r="K51" i="6"/>
  <c r="P51" i="6"/>
  <c r="O50" i="6"/>
  <c r="N50" i="6"/>
  <c r="K50" i="6"/>
  <c r="P50" i="6"/>
  <c r="O49" i="6"/>
  <c r="N49" i="6"/>
  <c r="K49" i="6"/>
  <c r="P49" i="6"/>
  <c r="O48" i="6"/>
  <c r="N48" i="6"/>
  <c r="K48" i="6"/>
  <c r="P48" i="6"/>
  <c r="O47" i="6"/>
  <c r="N47" i="6"/>
  <c r="K47" i="6"/>
  <c r="P47" i="6"/>
  <c r="O46" i="6"/>
  <c r="N46" i="6"/>
  <c r="K46" i="6"/>
  <c r="P46" i="6"/>
  <c r="O45" i="6"/>
  <c r="N45" i="6"/>
  <c r="K45" i="6"/>
  <c r="P45" i="6"/>
  <c r="O44" i="6"/>
  <c r="N44" i="6"/>
  <c r="K44" i="6"/>
  <c r="P44" i="6"/>
  <c r="O43" i="6"/>
  <c r="N43" i="6"/>
  <c r="K43" i="6"/>
  <c r="O42" i="6"/>
  <c r="N42" i="6"/>
  <c r="K42" i="6"/>
  <c r="O41" i="6"/>
  <c r="N41" i="6"/>
  <c r="K41" i="6"/>
  <c r="P41" i="6"/>
  <c r="O40" i="6"/>
  <c r="N40" i="6"/>
  <c r="K40" i="6"/>
  <c r="P40" i="6"/>
  <c r="O39" i="6"/>
  <c r="N39" i="6"/>
  <c r="K39" i="6"/>
  <c r="O38" i="6"/>
  <c r="N38" i="6"/>
  <c r="K38" i="6"/>
  <c r="P38" i="6"/>
  <c r="O37" i="6"/>
  <c r="N37" i="6"/>
  <c r="K37" i="6"/>
  <c r="O36" i="6"/>
  <c r="N36" i="6"/>
  <c r="K36" i="6"/>
  <c r="O34" i="6"/>
  <c r="N34" i="6"/>
  <c r="K34" i="6"/>
  <c r="F34" i="6"/>
  <c r="P34" i="6" s="1"/>
  <c r="E34" i="6"/>
  <c r="O33" i="6"/>
  <c r="N33" i="6"/>
  <c r="K33" i="6"/>
  <c r="F33" i="6"/>
  <c r="P33" i="6" s="1"/>
  <c r="E33" i="6"/>
  <c r="O32" i="6"/>
  <c r="N32" i="6"/>
  <c r="K32" i="6"/>
  <c r="F32" i="6"/>
  <c r="P32" i="6" s="1"/>
  <c r="E32" i="6"/>
  <c r="O31" i="6"/>
  <c r="N31" i="6"/>
  <c r="K31" i="6"/>
  <c r="F31" i="6"/>
  <c r="P31" i="6" s="1"/>
  <c r="E31" i="6"/>
  <c r="O30" i="6"/>
  <c r="N30" i="6"/>
  <c r="K30" i="6"/>
  <c r="F30" i="6"/>
  <c r="P30" i="6" s="1"/>
  <c r="E30" i="6"/>
  <c r="J28" i="6"/>
  <c r="D28" i="6"/>
  <c r="L28" i="6" s="1"/>
  <c r="M28" i="6" s="1"/>
  <c r="C28" i="6"/>
  <c r="F28" i="6" s="1"/>
  <c r="A28" i="6"/>
  <c r="J27" i="6"/>
  <c r="D27" i="6"/>
  <c r="L27" i="6" s="1"/>
  <c r="M27" i="6" s="1"/>
  <c r="C27" i="6"/>
  <c r="H27" i="6" s="1"/>
  <c r="I27" i="6" s="1"/>
  <c r="O27" i="6" s="1"/>
  <c r="A27" i="6"/>
  <c r="J26" i="6"/>
  <c r="E26" i="6" a="1"/>
  <c r="E26" i="6" s="1"/>
  <c r="D26" i="6"/>
  <c r="L26" i="6" s="1"/>
  <c r="M26" i="6" s="1"/>
  <c r="C26" i="6"/>
  <c r="H26" i="6" s="1"/>
  <c r="I26" i="6" s="1"/>
  <c r="O26" i="6" s="1"/>
  <c r="J25" i="6"/>
  <c r="E25" i="6" a="1"/>
  <c r="E25" i="6" s="1"/>
  <c r="D25" i="6"/>
  <c r="L25" i="6" s="1"/>
  <c r="M25" i="6" s="1"/>
  <c r="C25" i="6"/>
  <c r="H25" i="6" s="1"/>
  <c r="I25" i="6" s="1"/>
  <c r="O25" i="6" s="1"/>
  <c r="J24" i="6"/>
  <c r="E24" i="6" a="1"/>
  <c r="E24" i="6" s="1"/>
  <c r="D24" i="6"/>
  <c r="L24" i="6" s="1"/>
  <c r="M24" i="6" s="1"/>
  <c r="C24" i="6"/>
  <c r="H24" i="6" s="1"/>
  <c r="I24" i="6" s="1"/>
  <c r="O24" i="6" s="1"/>
  <c r="J23" i="6"/>
  <c r="E23" i="6" a="1"/>
  <c r="E23" i="6" s="1"/>
  <c r="D23" i="6"/>
  <c r="L23" i="6" s="1"/>
  <c r="M23" i="6" s="1"/>
  <c r="C23" i="6"/>
  <c r="H23" i="6" s="1"/>
  <c r="I23" i="6" s="1"/>
  <c r="O23" i="6" s="1"/>
  <c r="J22" i="6"/>
  <c r="E22" i="6" a="1"/>
  <c r="E22" i="6" s="1"/>
  <c r="D22" i="6"/>
  <c r="L22" i="6" s="1"/>
  <c r="M22" i="6" s="1"/>
  <c r="C22" i="6"/>
  <c r="H22" i="6" s="1"/>
  <c r="I22" i="6" s="1"/>
  <c r="O22" i="6" s="1"/>
  <c r="P21" i="6"/>
  <c r="J21" i="6"/>
  <c r="E21" i="6" a="1"/>
  <c r="E21" i="6" s="1"/>
  <c r="D21" i="6"/>
  <c r="L21" i="6" s="1"/>
  <c r="M21" i="6" s="1"/>
  <c r="C21" i="6"/>
  <c r="H21" i="6" s="1"/>
  <c r="I21" i="6" s="1"/>
  <c r="O21" i="6" s="1"/>
  <c r="J20" i="6"/>
  <c r="J19" i="6"/>
  <c r="N17" i="6"/>
  <c r="P16" i="6"/>
  <c r="P15" i="6"/>
  <c r="O13" i="6"/>
  <c r="P11" i="6"/>
  <c r="J11" i="6"/>
  <c r="J10" i="6"/>
  <c r="J9" i="6"/>
  <c r="S10" i="6" s="1"/>
  <c r="L7" i="6"/>
  <c r="P5" i="6"/>
  <c r="N5" i="6"/>
  <c r="M5" i="6"/>
  <c r="K5" i="6"/>
  <c r="J5" i="6"/>
  <c r="M4" i="6"/>
  <c r="J4" i="6"/>
  <c r="F4" i="6"/>
  <c r="P42" i="6"/>
  <c r="S11" i="6" l="1"/>
  <c r="K14" i="6"/>
  <c r="P20" i="6"/>
  <c r="P19" i="6"/>
  <c r="P8" i="6"/>
  <c r="L65" i="6"/>
  <c r="L66" i="6" s="1"/>
  <c r="L67" i="6" s="1"/>
  <c r="E64" i="6"/>
  <c r="F21" i="6"/>
  <c r="M11" i="6"/>
  <c r="S6" i="6" s="1"/>
  <c r="F22" i="6"/>
  <c r="P67" i="6"/>
  <c r="J13" i="6"/>
  <c r="D20" i="6"/>
  <c r="L20" i="6" s="1"/>
  <c r="M20" i="6" s="1"/>
  <c r="P14" i="6"/>
  <c r="C20" i="6"/>
  <c r="H20" i="6" s="1"/>
  <c r="I20" i="6" s="1"/>
  <c r="O20" i="6" s="1"/>
  <c r="L19" i="6"/>
  <c r="C19" i="6"/>
  <c r="H19" i="6" s="1"/>
  <c r="F27" i="6"/>
  <c r="H28" i="6"/>
  <c r="I28" i="6" s="1"/>
  <c r="O28" i="6" s="1"/>
  <c r="P10" i="6"/>
  <c r="P37" i="6"/>
  <c r="P39" i="6"/>
  <c r="P43" i="6"/>
  <c r="I64" i="6"/>
  <c r="H66" i="6"/>
  <c r="S12" i="6" s="1"/>
  <c r="P9" i="6"/>
  <c r="P13" i="6"/>
  <c r="P17" i="6"/>
  <c r="F23" i="6"/>
  <c r="F24" i="6"/>
  <c r="F25" i="6"/>
  <c r="F26" i="6"/>
  <c r="P36" i="6"/>
  <c r="M2" i="71"/>
  <c r="D2" i="71"/>
  <c r="P91" i="6" l="1"/>
  <c r="Z6" i="6" s="1"/>
  <c r="I19" i="6"/>
  <c r="O19" i="6" s="1"/>
  <c r="S7" i="6" s="1"/>
  <c r="S9" i="6"/>
  <c r="M19" i="6"/>
  <c r="J14" i="6"/>
  <c r="U6" i="6" s="1"/>
  <c r="I66" i="6"/>
  <c r="E2" i="6"/>
  <c r="F20" i="6"/>
  <c r="F19" i="6"/>
  <c r="P66" i="6" a="1"/>
  <c r="P66" i="6" s="1"/>
  <c r="W6" i="6" s="1"/>
  <c r="N33" i="1"/>
  <c r="N50" i="1"/>
  <c r="N37" i="1"/>
  <c r="N30" i="1"/>
  <c r="F2" i="71"/>
  <c r="N26" i="1" l="1"/>
  <c r="N25" i="1"/>
  <c r="N124" i="1"/>
  <c r="N123" i="1"/>
  <c r="N180" i="1" l="1"/>
  <c r="N178" i="1"/>
  <c r="N119" i="1"/>
  <c r="N111" i="1"/>
  <c r="N133" i="1"/>
  <c r="N132" i="1"/>
  <c r="N131" i="1"/>
  <c r="N130" i="1"/>
  <c r="N31" i="1"/>
  <c r="H2" i="71"/>
  <c r="N157" i="1" l="1"/>
  <c r="N156" i="1"/>
  <c r="N155" i="1"/>
  <c r="N145" i="1"/>
  <c r="N144" i="1"/>
  <c r="N143" i="1"/>
  <c r="N142" i="1"/>
  <c r="N128" i="1"/>
  <c r="N127" i="1"/>
  <c r="N126" i="1"/>
  <c r="N125" i="1"/>
  <c r="N198" i="1"/>
  <c r="N199" i="1"/>
  <c r="N200" i="1"/>
  <c r="N201" i="1"/>
  <c r="N216" i="1" l="1"/>
  <c r="N215" i="1"/>
  <c r="N214" i="1"/>
  <c r="N213" i="1"/>
  <c r="N212" i="1"/>
  <c r="N211" i="1"/>
  <c r="N210" i="1"/>
  <c r="N209" i="1"/>
  <c r="N193" i="1"/>
  <c r="N192" i="1"/>
  <c r="N191" i="1"/>
  <c r="N179" i="1"/>
  <c r="N129" i="1"/>
  <c r="N233" i="1" l="1"/>
  <c r="N232" i="1"/>
  <c r="N231" i="1"/>
  <c r="N230" i="1"/>
  <c r="N190" i="1"/>
  <c r="N189" i="1"/>
  <c r="N188" i="1"/>
  <c r="N187" i="1"/>
  <c r="N165" i="1" l="1"/>
  <c r="N160" i="1"/>
  <c r="N159" i="1"/>
  <c r="N158" i="1"/>
  <c r="N170" i="1"/>
  <c r="N169" i="1"/>
  <c r="N168" i="1"/>
  <c r="N167" i="1"/>
  <c r="N177" i="1"/>
  <c r="N176" i="1"/>
  <c r="N175" i="1"/>
  <c r="N174" i="1"/>
  <c r="N245" i="1"/>
  <c r="N244" i="1"/>
  <c r="N243" i="1"/>
  <c r="N242" i="1"/>
  <c r="N241" i="1"/>
  <c r="N240" i="1"/>
  <c r="N239" i="1"/>
  <c r="N238" i="1"/>
  <c r="N237" i="1"/>
  <c r="N236" i="1"/>
  <c r="N235" i="1"/>
  <c r="N234" i="1"/>
  <c r="N197" i="1"/>
  <c r="N137" i="1"/>
  <c r="N136" i="1"/>
  <c r="N135" i="1"/>
  <c r="N134" i="1"/>
  <c r="N250" i="1"/>
  <c r="N249" i="1"/>
  <c r="N248" i="1"/>
  <c r="N247" i="1"/>
  <c r="N28" i="1"/>
  <c r="N73" i="1"/>
  <c r="N208" i="1"/>
  <c r="N10" i="1"/>
  <c r="H3" i="71"/>
  <c r="N72" i="1" l="1"/>
  <c r="N186" i="1"/>
  <c r="N185" i="1"/>
  <c r="N184" i="1"/>
  <c r="N183" i="1"/>
  <c r="N222" i="1"/>
  <c r="N221" i="1"/>
  <c r="N220" i="1"/>
  <c r="N219" i="1"/>
  <c r="N218" i="1"/>
  <c r="N217" i="1"/>
  <c r="N182" i="1"/>
  <c r="N154" i="1"/>
  <c r="N115" i="1"/>
  <c r="N42" i="1"/>
  <c r="N40" i="1"/>
  <c r="N39" i="1"/>
  <c r="N38" i="1"/>
  <c r="N29" i="1"/>
  <c r="N61" i="1"/>
  <c r="N58" i="1"/>
  <c r="P31" i="178" s="1"/>
  <c r="N55" i="1"/>
  <c r="N60" i="1"/>
  <c r="N57" i="1"/>
  <c r="N54" i="1"/>
  <c r="N59" i="1"/>
  <c r="N56" i="1"/>
  <c r="N53" i="1"/>
  <c r="N63" i="1"/>
  <c r="N43" i="1"/>
  <c r="N32" i="1"/>
  <c r="N18" i="1"/>
  <c r="N17" i="1"/>
  <c r="N16" i="1"/>
  <c r="N15" i="1"/>
  <c r="N14" i="1"/>
  <c r="N13" i="1"/>
  <c r="N24" i="1"/>
  <c r="N23" i="1"/>
  <c r="N22" i="1"/>
  <c r="N21" i="1"/>
  <c r="N20" i="1"/>
  <c r="N19" i="1"/>
  <c r="P32" i="187" l="1"/>
  <c r="P91" i="187" s="1"/>
  <c r="Z6" i="187" s="1"/>
  <c r="P2" i="187" s="1"/>
  <c r="P32" i="179"/>
  <c r="P91" i="179" s="1"/>
  <c r="Z6" i="179" s="1"/>
  <c r="P2" i="179" s="1"/>
  <c r="P32" i="178"/>
  <c r="P91" i="178" s="1"/>
  <c r="Z6" i="178" s="1"/>
  <c r="P2" i="178" s="1"/>
  <c r="F73" i="2"/>
  <c r="F75" i="2"/>
  <c r="F74" i="2"/>
  <c r="F65" i="2"/>
  <c r="F64" i="2"/>
  <c r="F62" i="2"/>
  <c r="F61" i="2"/>
  <c r="F60" i="2"/>
  <c r="F58" i="2"/>
  <c r="F54" i="2"/>
  <c r="F48" i="2"/>
  <c r="F42" i="2"/>
  <c r="F41" i="2"/>
  <c r="F37" i="2"/>
  <c r="F36" i="2"/>
  <c r="F34" i="2"/>
  <c r="F31" i="2"/>
  <c r="F30" i="2"/>
  <c r="W6" i="178" l="1"/>
  <c r="W6" i="179"/>
  <c r="W6" i="187"/>
  <c r="O73" i="148"/>
  <c r="S7" i="148" s="1"/>
  <c r="P49" i="67"/>
  <c r="P92" i="178" l="1"/>
  <c r="P92" i="179"/>
  <c r="P92" i="187"/>
  <c r="P2" i="6"/>
  <c r="P9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<sst xmlns="http://schemas.openxmlformats.org/spreadsheetml/2006/main" count="7245" uniqueCount="897">
  <si>
    <t>Basic</t>
  </si>
  <si>
    <t>Improved</t>
  </si>
  <si>
    <t>Enhanced</t>
  </si>
  <si>
    <t>Advanced</t>
  </si>
  <si>
    <t>TL</t>
  </si>
  <si>
    <t>Cost</t>
  </si>
  <si>
    <t>Level</t>
  </si>
  <si>
    <t>Name</t>
  </si>
  <si>
    <t>Category</t>
  </si>
  <si>
    <t>Sensor</t>
  </si>
  <si>
    <t>Slots</t>
  </si>
  <si>
    <t>Environment Processor</t>
  </si>
  <si>
    <t>PRIS Sensor</t>
  </si>
  <si>
    <t>-</t>
  </si>
  <si>
    <t>Primitive</t>
  </si>
  <si>
    <t>Cr</t>
  </si>
  <si>
    <t>Size Table</t>
  </si>
  <si>
    <t>Size</t>
  </si>
  <si>
    <t>Basic Cost</t>
  </si>
  <si>
    <t>Base hits</t>
  </si>
  <si>
    <t>Hit DM</t>
  </si>
  <si>
    <t>Base Slots</t>
  </si>
  <si>
    <t>Locomotion Table</t>
  </si>
  <si>
    <t>Locomotion</t>
  </si>
  <si>
    <t>Agility</t>
  </si>
  <si>
    <t>Traits</t>
  </si>
  <si>
    <t>None</t>
  </si>
  <si>
    <t>Wheels</t>
  </si>
  <si>
    <t>Tracks</t>
  </si>
  <si>
    <t>Grav</t>
  </si>
  <si>
    <t>Aquatic</t>
  </si>
  <si>
    <t>VTOL</t>
  </si>
  <si>
    <t>Walker</t>
  </si>
  <si>
    <t>Hovercraft</t>
  </si>
  <si>
    <t>Cost X</t>
  </si>
  <si>
    <t>Endurance</t>
  </si>
  <si>
    <t>Robot Design Worksheet</t>
  </si>
  <si>
    <t>Robot Name</t>
  </si>
  <si>
    <t>Locomotion Type</t>
  </si>
  <si>
    <t>Visual Spectrum Sensor</t>
  </si>
  <si>
    <t>Communications</t>
  </si>
  <si>
    <t>Voder Speaker</t>
  </si>
  <si>
    <t>Wireless Data Link</t>
  </si>
  <si>
    <t>Default Suite</t>
  </si>
  <si>
    <t>znull</t>
  </si>
  <si>
    <t>0null</t>
  </si>
  <si>
    <t>STR</t>
  </si>
  <si>
    <t>DEX</t>
  </si>
  <si>
    <t>INT</t>
  </si>
  <si>
    <t>Manipulators</t>
  </si>
  <si>
    <t>Base One</t>
  </si>
  <si>
    <t>Base Two</t>
  </si>
  <si>
    <t>Additional One</t>
  </si>
  <si>
    <t>Additional Two</t>
  </si>
  <si>
    <t>Additional Three</t>
  </si>
  <si>
    <t>Additional Four</t>
  </si>
  <si>
    <t>Additional Five</t>
  </si>
  <si>
    <t>Additional Six</t>
  </si>
  <si>
    <t>Armour Table</t>
  </si>
  <si>
    <t>Base</t>
  </si>
  <si>
    <t>Max/slot</t>
  </si>
  <si>
    <t>Max</t>
  </si>
  <si>
    <t>Efficiency</t>
  </si>
  <si>
    <t>Power Packs</t>
  </si>
  <si>
    <t>hours</t>
  </si>
  <si>
    <t>Brains</t>
  </si>
  <si>
    <t>Computer/X</t>
  </si>
  <si>
    <t>Skill DM</t>
  </si>
  <si>
    <t>Base capability (built-in no bandwidth, cumulative)</t>
  </si>
  <si>
    <t>Base INT</t>
  </si>
  <si>
    <t>Programming/Control</t>
  </si>
  <si>
    <t>Programmable</t>
  </si>
  <si>
    <t>Primitive-7</t>
  </si>
  <si>
    <t>Primitive-8</t>
  </si>
  <si>
    <t>Basic (x)-8</t>
  </si>
  <si>
    <t>Hunter/Killer-8</t>
  </si>
  <si>
    <t>Basic (x)-10</t>
  </si>
  <si>
    <t>Hunter/Killer-10</t>
  </si>
  <si>
    <t>Advanced-10</t>
  </si>
  <si>
    <t>Advanced-11</t>
  </si>
  <si>
    <t>Advanced-12</t>
  </si>
  <si>
    <t>Very Advanced-12</t>
  </si>
  <si>
    <t>Very Advanced-13</t>
  </si>
  <si>
    <t>Very Advanced-14</t>
  </si>
  <si>
    <t>Self-aware-15</t>
  </si>
  <si>
    <t>Self-aware-16</t>
  </si>
  <si>
    <t>Conscious-17</t>
  </si>
  <si>
    <t>Conscious-18</t>
  </si>
  <si>
    <t>Brains Table</t>
  </si>
  <si>
    <t>Bandwidth</t>
  </si>
  <si>
    <t>Skills</t>
  </si>
  <si>
    <t xml:space="preserve"> </t>
  </si>
  <si>
    <t>/Slot</t>
  </si>
  <si>
    <t>Skill</t>
  </si>
  <si>
    <t>Trait</t>
  </si>
  <si>
    <t>Coating</t>
  </si>
  <si>
    <t>Superior</t>
  </si>
  <si>
    <t>xS</t>
  </si>
  <si>
    <t>Hostile Environment Protection</t>
  </si>
  <si>
    <t>Reflec Armour</t>
  </si>
  <si>
    <t>Vacuum Environment Protection</t>
  </si>
  <si>
    <t>Corrosive Environment Protection</t>
  </si>
  <si>
    <t>Insidious Environment Protection</t>
  </si>
  <si>
    <t>Radiation Environment Protection</t>
  </si>
  <si>
    <t>Basic (labourer)</t>
  </si>
  <si>
    <t>Basic (security)</t>
  </si>
  <si>
    <t>Basic (servant)</t>
  </si>
  <si>
    <t>Basic (service)</t>
  </si>
  <si>
    <t>Hunter/Killer</t>
  </si>
  <si>
    <t>Hunter/Killer (standard)</t>
  </si>
  <si>
    <t>Hunter/Killer (tactical)</t>
  </si>
  <si>
    <t>Primitive Skill Packages</t>
  </si>
  <si>
    <t>Basic Skill Packages</t>
  </si>
  <si>
    <t>Hunter/Killer Skill Packages</t>
  </si>
  <si>
    <t>Standard Skill Packages</t>
  </si>
  <si>
    <t>Admin</t>
  </si>
  <si>
    <t>Packages</t>
  </si>
  <si>
    <t>N/A</t>
  </si>
  <si>
    <t>Advocate</t>
  </si>
  <si>
    <t>Astrogation</t>
  </si>
  <si>
    <t>Art ()</t>
  </si>
  <si>
    <t>Broker</t>
  </si>
  <si>
    <t>Carouse</t>
  </si>
  <si>
    <t>Deception</t>
  </si>
  <si>
    <t>Diplomat</t>
  </si>
  <si>
    <t>Explosives</t>
  </si>
  <si>
    <t>Gambler</t>
  </si>
  <si>
    <t>Investigate</t>
  </si>
  <si>
    <t>Language ()</t>
  </si>
  <si>
    <t>Leadership</t>
  </si>
  <si>
    <t>Mechanic</t>
  </si>
  <si>
    <t>Medic</t>
  </si>
  <si>
    <t>Melee ()</t>
  </si>
  <si>
    <t>Navigation</t>
  </si>
  <si>
    <t>Persuade</t>
  </si>
  <si>
    <t>Profession ()</t>
  </si>
  <si>
    <t>Science ()</t>
  </si>
  <si>
    <t>Seafarer ()</t>
  </si>
  <si>
    <t>Pilot ()</t>
  </si>
  <si>
    <t>Drive ()</t>
  </si>
  <si>
    <t>Flyer ()</t>
  </si>
  <si>
    <t>Streetwise</t>
  </si>
  <si>
    <t>Survival</t>
  </si>
  <si>
    <t>Animals ()</t>
  </si>
  <si>
    <t>Steward</t>
  </si>
  <si>
    <t>Gunner ()</t>
  </si>
  <si>
    <t>Gun Combat ()</t>
  </si>
  <si>
    <t>Heavy Weapons ()</t>
  </si>
  <si>
    <t>Electronics ()</t>
  </si>
  <si>
    <t>Engineer ()</t>
  </si>
  <si>
    <t>Tactics ()</t>
  </si>
  <si>
    <t>Characteristic</t>
  </si>
  <si>
    <t>Bandwidth Upgrade</t>
  </si>
  <si>
    <t>DM</t>
  </si>
  <si>
    <t>Bandwidth Table</t>
  </si>
  <si>
    <t>Minimum Base Brain</t>
  </si>
  <si>
    <t>Advanced +2</t>
  </si>
  <si>
    <t>Advanced +3</t>
  </si>
  <si>
    <t>Basic or Hunter/Killer +1</t>
  </si>
  <si>
    <t>Advanced +4</t>
  </si>
  <si>
    <t>Very Advanced +6</t>
  </si>
  <si>
    <t>Self-Aware +10</t>
  </si>
  <si>
    <t>Self-Aware +15</t>
  </si>
  <si>
    <t>Self-Aware +20</t>
  </si>
  <si>
    <t>Self-Aware +25</t>
  </si>
  <si>
    <t>Conscious +30</t>
  </si>
  <si>
    <t>Conscious +40</t>
  </si>
  <si>
    <t>Conscious +50</t>
  </si>
  <si>
    <t>Very Advanced +8</t>
  </si>
  <si>
    <t>High Speed</t>
  </si>
  <si>
    <t>High</t>
  </si>
  <si>
    <t>No</t>
  </si>
  <si>
    <t>Number</t>
  </si>
  <si>
    <t>Speed Band</t>
  </si>
  <si>
    <t>Speed Bands</t>
  </si>
  <si>
    <t>Low</t>
  </si>
  <si>
    <t>Secondary Locomotion?</t>
  </si>
  <si>
    <t>Agility Enhancement</t>
  </si>
  <si>
    <t>Speed Band:</t>
  </si>
  <si>
    <t>Installed Weapons</t>
  </si>
  <si>
    <t>Chassis Size</t>
  </si>
  <si>
    <t>Resilient Chassis</t>
  </si>
  <si>
    <t>Light Chassis</t>
  </si>
  <si>
    <t>Total Armour:</t>
  </si>
  <si>
    <t>Reference:</t>
  </si>
  <si>
    <t>Chassis Modifications</t>
  </si>
  <si>
    <t>Locomotion Modifications</t>
  </si>
  <si>
    <t>Vehicle Speed Movement?</t>
  </si>
  <si>
    <t>Vehicle Speed Enhancement?</t>
  </si>
  <si>
    <t>Reduced Slots</t>
  </si>
  <si>
    <t>Storage Compartment (refrigerated)</t>
  </si>
  <si>
    <t>QTY</t>
  </si>
  <si>
    <t>Autobar (basic)</t>
  </si>
  <si>
    <t>Autobar (improved)</t>
  </si>
  <si>
    <t>Autobar (enhanced)</t>
  </si>
  <si>
    <t>Autobar (advanced)</t>
  </si>
  <si>
    <t>Autochef (basic)</t>
  </si>
  <si>
    <t>Autochef (improved)</t>
  </si>
  <si>
    <t>Autochef (enhanced)</t>
  </si>
  <si>
    <t>Autochef (advanced)</t>
  </si>
  <si>
    <t>Medikit (basic)</t>
  </si>
  <si>
    <t>Medikit (improved)</t>
  </si>
  <si>
    <t>Medikit (enhanced)</t>
  </si>
  <si>
    <t>Medikit (advanced)</t>
  </si>
  <si>
    <t>Starship Engineer Toolkit (basic)</t>
  </si>
  <si>
    <t>Starship Engineer Toolkit (improved)</t>
  </si>
  <si>
    <t>Starship Engineer Toolkit (enhanced)</t>
  </si>
  <si>
    <t>Starship Engineer Toolkit (advanced)</t>
  </si>
  <si>
    <t>Athletics ()</t>
  </si>
  <si>
    <t>Options Table</t>
  </si>
  <si>
    <t>yNull</t>
  </si>
  <si>
    <t>DS</t>
  </si>
  <si>
    <t>Additional Options</t>
  </si>
  <si>
    <t>***Slotted Options***</t>
  </si>
  <si>
    <t>Olfactory Sensor (basic)</t>
  </si>
  <si>
    <t>Olfactory Sensor (improved)</t>
  </si>
  <si>
    <t>Olfactory Sensor (advanced)</t>
  </si>
  <si>
    <t>variable</t>
  </si>
  <si>
    <t>Recon Sensor (basic)</t>
  </si>
  <si>
    <t>Recon Sensor (improved)</t>
  </si>
  <si>
    <t>Recon Sensor (enhanced)</t>
  </si>
  <si>
    <t>Recon Sensor (advanced)</t>
  </si>
  <si>
    <t>Atmospheric Sensor</t>
  </si>
  <si>
    <t>Self-Repairing Chassis</t>
  </si>
  <si>
    <t>Chassis</t>
  </si>
  <si>
    <t>Active Camouflage</t>
  </si>
  <si>
    <t>Autopilot (improved)</t>
  </si>
  <si>
    <t>Autopilot (enhanced)</t>
  </si>
  <si>
    <t>Autopilot (advanced)</t>
  </si>
  <si>
    <t>Weapon</t>
  </si>
  <si>
    <t>pSlot</t>
  </si>
  <si>
    <t>External Power</t>
  </si>
  <si>
    <t>Encryption Module</t>
  </si>
  <si>
    <t>Satellite Uplink</t>
  </si>
  <si>
    <t>Tightbeam Communicator</t>
  </si>
  <si>
    <t>Navigation System (basic)</t>
  </si>
  <si>
    <t>Navigation System (improved)</t>
  </si>
  <si>
    <t>Navigation System (enhanced)</t>
  </si>
  <si>
    <t>Navigation System (advanced)</t>
  </si>
  <si>
    <t>Medical</t>
  </si>
  <si>
    <t>Medical Chamber</t>
  </si>
  <si>
    <t>Medical Chamber Option: Cryoberth (basic)</t>
  </si>
  <si>
    <t>Medical Chamber Option: Cryoberth (improved)</t>
  </si>
  <si>
    <t>Medical Chamber Option: Reanimation</t>
  </si>
  <si>
    <t>Swarm Controller (basic)</t>
  </si>
  <si>
    <t>Swarm Controller (improved)</t>
  </si>
  <si>
    <t>Swarm Controller (enhanced)</t>
  </si>
  <si>
    <t>Swarm Controller (advanced)</t>
  </si>
  <si>
    <t>Power</t>
  </si>
  <si>
    <t>No Internal Power</t>
  </si>
  <si>
    <t>Solar Power Unit (basic)</t>
  </si>
  <si>
    <t>Solar Power Unit (improved)</t>
  </si>
  <si>
    <t>Solar Power Unit (enhanced)</t>
  </si>
  <si>
    <t>Solar Power Unit (advanced)</t>
  </si>
  <si>
    <t>Tool Kit</t>
  </si>
  <si>
    <t>Scientific Toolkit (basic)</t>
  </si>
  <si>
    <t>Scientific Toolkit (improved)</t>
  </si>
  <si>
    <t>Scientific Toolkit (enhanced)</t>
  </si>
  <si>
    <t>Scientific Toolkit (advanced)</t>
  </si>
  <si>
    <t>Electronics Toolkit (basic)</t>
  </si>
  <si>
    <t>Electronics Toolkit (improved)</t>
  </si>
  <si>
    <t>Electronics Toolkit (enhanced)</t>
  </si>
  <si>
    <t>Electronics Toolkit (advanced)</t>
  </si>
  <si>
    <t>Forensic Toolkit (basic)</t>
  </si>
  <si>
    <t>Forensic Toolkit (improved)</t>
  </si>
  <si>
    <t>Forensic Toolkit (enhanced)</t>
  </si>
  <si>
    <t>Forensic Toolkit (advanced)</t>
  </si>
  <si>
    <t>Mechanical Toolkit (basic)</t>
  </si>
  <si>
    <t>Mechanical Toolkit (improved)</t>
  </si>
  <si>
    <t>Mechanical Toolkit (advanced)</t>
  </si>
  <si>
    <t>Miscellaneous</t>
  </si>
  <si>
    <t>Fire Control System (basic)</t>
  </si>
  <si>
    <t>Fire Control System (improved)</t>
  </si>
  <si>
    <t>Fire Control System (enhanced)</t>
  </si>
  <si>
    <t>Fire Control System (advanced)</t>
  </si>
  <si>
    <t>Stealth (basic)</t>
  </si>
  <si>
    <t>Stealth (improved)</t>
  </si>
  <si>
    <t>Stealth (enhanced)</t>
  </si>
  <si>
    <t>Stealth (advanced)</t>
  </si>
  <si>
    <t>Geiger Counter</t>
  </si>
  <si>
    <t>Bioscanner Sensor</t>
  </si>
  <si>
    <t>Densitometer Sensor</t>
  </si>
  <si>
    <t>Neural Activity Sensor</t>
  </si>
  <si>
    <t>Planetology Sensor Suite</t>
  </si>
  <si>
    <t>Drone Interface</t>
  </si>
  <si>
    <t>Drone</t>
  </si>
  <si>
    <t>Drone Control Interface (basic)</t>
  </si>
  <si>
    <t>Drone Control Interface (primitive)</t>
  </si>
  <si>
    <t>Drone Control Interface (improved)</t>
  </si>
  <si>
    <t>Drone Control Interface (advanced)</t>
  </si>
  <si>
    <t>Thruster</t>
  </si>
  <si>
    <t>Gecko Grippers</t>
  </si>
  <si>
    <t>Magnetic Grippers</t>
  </si>
  <si>
    <t>Stinger</t>
  </si>
  <si>
    <t>Injector Needle</t>
  </si>
  <si>
    <t>Characteristics</t>
  </si>
  <si>
    <t>Value</t>
  </si>
  <si>
    <t>Effects</t>
  </si>
  <si>
    <t>Agility =</t>
  </si>
  <si>
    <t>Hits =</t>
  </si>
  <si>
    <t>Tactical Speed Modification</t>
  </si>
  <si>
    <t>Notes</t>
  </si>
  <si>
    <t>Endurance =</t>
  </si>
  <si>
    <t>Total Hits</t>
  </si>
  <si>
    <t>Mod/Final(DM)</t>
  </si>
  <si>
    <t>Final Agility:</t>
  </si>
  <si>
    <t>Final Speed:</t>
  </si>
  <si>
    <t>Adjusted Skills</t>
  </si>
  <si>
    <t>Brain Hardening (/fib)</t>
  </si>
  <si>
    <t>Brain Type</t>
  </si>
  <si>
    <t>Adjusted Bandwidth</t>
  </si>
  <si>
    <t>X</t>
  </si>
  <si>
    <t>Net</t>
  </si>
  <si>
    <t>Max:</t>
  </si>
  <si>
    <t>Char</t>
  </si>
  <si>
    <t xml:space="preserve">TL = </t>
  </si>
  <si>
    <t>+</t>
  </si>
  <si>
    <t>Hits</t>
  </si>
  <si>
    <t>Robot</t>
  </si>
  <si>
    <t>Speed</t>
  </si>
  <si>
    <t>Attacks</t>
  </si>
  <si>
    <t>Programming</t>
  </si>
  <si>
    <t xml:space="preserve">Stealth 1, </t>
  </si>
  <si>
    <t xml:space="preserve">Stealth 2, </t>
  </si>
  <si>
    <t xml:space="preserve">Stealth 3, </t>
  </si>
  <si>
    <t xml:space="preserve">Stealth 4, </t>
  </si>
  <si>
    <t xml:space="preserve">Vehicle () 1, </t>
  </si>
  <si>
    <t xml:space="preserve">Vehicle () 2, </t>
  </si>
  <si>
    <t xml:space="preserve">Vehicle () 3, </t>
  </si>
  <si>
    <t xml:space="preserve">Navigation 1, </t>
  </si>
  <si>
    <t xml:space="preserve">Navigation 2, </t>
  </si>
  <si>
    <t xml:space="preserve">Navigation 3, </t>
  </si>
  <si>
    <t xml:space="preserve">Navigation 4, </t>
  </si>
  <si>
    <t xml:space="preserve">Recon 1, </t>
  </si>
  <si>
    <t xml:space="preserve">Recon 2, </t>
  </si>
  <si>
    <t xml:space="preserve">Recon 3, </t>
  </si>
  <si>
    <t xml:space="preserve">Weapon () 1, </t>
  </si>
  <si>
    <t xml:space="preserve">Weapon () 2, </t>
  </si>
  <si>
    <t xml:space="preserve">Weapon () 3, </t>
  </si>
  <si>
    <t xml:space="preserve">Weapon () 4, </t>
  </si>
  <si>
    <t xml:space="preserve">Recon 0, </t>
  </si>
  <si>
    <t xml:space="preserve">(++10 vs. lasers), </t>
  </si>
  <si>
    <t xml:space="preserve">Heightened Senses, </t>
  </si>
  <si>
    <t xml:space="preserve">IR/UV Vision, </t>
  </si>
  <si>
    <t xml:space="preserve">Invisible, </t>
  </si>
  <si>
    <t xml:space="preserve">ATV, </t>
  </si>
  <si>
    <t xml:space="preserve">Flyer, </t>
  </si>
  <si>
    <t xml:space="preserve">Seafarer, </t>
  </si>
  <si>
    <t xml:space="preserve">ACV, </t>
  </si>
  <si>
    <t xml:space="preserve">Profession (domestic cleaner) 2, </t>
  </si>
  <si>
    <t xml:space="preserve">Weapon 1, </t>
  </si>
  <si>
    <t xml:space="preserve">Profession (labourer) 2, </t>
  </si>
  <si>
    <t xml:space="preserve">Weapon 1, Tactics (military) 1, </t>
  </si>
  <si>
    <t xml:space="preserve">Profession (domestic servant) 2, </t>
  </si>
  <si>
    <t xml:space="preserve">Mechanic 0, Steward 0, </t>
  </si>
  <si>
    <t>Weapon Traits</t>
  </si>
  <si>
    <t>Range</t>
  </si>
  <si>
    <t>D</t>
  </si>
  <si>
    <t>Mag</t>
  </si>
  <si>
    <t>none</t>
  </si>
  <si>
    <t xml:space="preserve">Gun Combat () 0 or Melee () 0, </t>
  </si>
  <si>
    <t>Subcategory</t>
  </si>
  <si>
    <t>Art (</t>
  </si>
  <si>
    <t>Flyer (</t>
  </si>
  <si>
    <t>Engineer (</t>
  </si>
  <si>
    <t>Electronics (</t>
  </si>
  <si>
    <t>Athletics (</t>
  </si>
  <si>
    <t>Animals (</t>
  </si>
  <si>
    <t>Gunner (</t>
  </si>
  <si>
    <t>Gun Combat (</t>
  </si>
  <si>
    <t>Heavy Weapons (</t>
  </si>
  <si>
    <t>Language (</t>
  </si>
  <si>
    <t>Melee (</t>
  </si>
  <si>
    <t>Pilot (</t>
  </si>
  <si>
    <t>Profession (</t>
  </si>
  <si>
    <t>Science (</t>
  </si>
  <si>
    <t>Seafarer (</t>
  </si>
  <si>
    <t>Tactics (</t>
  </si>
  <si>
    <t>bane on Stealth</t>
  </si>
  <si>
    <t>TL days protection</t>
  </si>
  <si>
    <t>+50 X TL Rads</t>
  </si>
  <si>
    <t>1 max drones, 0 max skill</t>
  </si>
  <si>
    <t>2 max drones, 1 max skill</t>
  </si>
  <si>
    <t>4 max drones, 2 max skill</t>
  </si>
  <si>
    <t>8 max drones, 3 max skill</t>
  </si>
  <si>
    <t>1 max tasks, 0 max skill</t>
  </si>
  <si>
    <t>2 max tasks, 1 max skill</t>
  </si>
  <si>
    <t>3 max tasks, 2 max skill</t>
  </si>
  <si>
    <t>4 max tasks, 3 max skill</t>
  </si>
  <si>
    <t>0 max skill</t>
  </si>
  <si>
    <t>1 max skill</t>
  </si>
  <si>
    <t>2 max skill</t>
  </si>
  <si>
    <t>3 max skill</t>
  </si>
  <si>
    <t>100 years op life</t>
  </si>
  <si>
    <t>50 years op life</t>
  </si>
  <si>
    <t>10 years op life</t>
  </si>
  <si>
    <t>100 m range</t>
  </si>
  <si>
    <t>500 m range</t>
  </si>
  <si>
    <t>DM+1 to skill checks</t>
  </si>
  <si>
    <t>no manip mount</t>
  </si>
  <si>
    <t>2 kg or litres / slot</t>
  </si>
  <si>
    <t>z0</t>
  </si>
  <si>
    <t>Zeros</t>
  </si>
  <si>
    <t>+ Hostile env</t>
  </si>
  <si>
    <t>500m min range</t>
  </si>
  <si>
    <t>250m min range</t>
  </si>
  <si>
    <t>100m min range</t>
  </si>
  <si>
    <t>50m min range</t>
  </si>
  <si>
    <t>10m min range</t>
  </si>
  <si>
    <t>1m min range</t>
  </si>
  <si>
    <t>5m min range</t>
  </si>
  <si>
    <t>20m min range</t>
  </si>
  <si>
    <t>50m range</t>
  </si>
  <si>
    <t>0m min range</t>
  </si>
  <si>
    <t>heals 1 hit / attack</t>
  </si>
  <si>
    <t>25 years half-life</t>
  </si>
  <si>
    <t>50 years half-life</t>
  </si>
  <si>
    <t>100 years half-life</t>
  </si>
  <si>
    <t>25 years op life</t>
  </si>
  <si>
    <t>manip size 3-*</t>
  </si>
  <si>
    <t>manip size 5-*</t>
  </si>
  <si>
    <t>manip size 7-*</t>
  </si>
  <si>
    <t>Cleaning</t>
  </si>
  <si>
    <t>Domestic Cleaning Equipment (medium)</t>
  </si>
  <si>
    <t>Domestic Cleaning Equipment (small)</t>
  </si>
  <si>
    <t>Industrial Cleaning Equipment (medium)</t>
  </si>
  <si>
    <t>Industrial Cleaning Equipment (small)</t>
  </si>
  <si>
    <t>Industrial Cleaning Equipment (large)</t>
  </si>
  <si>
    <t>Agricultural Equipment (small)</t>
  </si>
  <si>
    <t>Agricultural Equipment (medium)</t>
  </si>
  <si>
    <t>Agricultural Equipment (large)</t>
  </si>
  <si>
    <t>Mining Equipment (small)</t>
  </si>
  <si>
    <t>Mining Equipment (medium)</t>
  </si>
  <si>
    <t>Mining Equipment (large)</t>
  </si>
  <si>
    <t>Construction Equipment (small)</t>
  </si>
  <si>
    <t>Construction Equipment (medium)</t>
  </si>
  <si>
    <t>Construction Equipment (large)</t>
  </si>
  <si>
    <t>Storage Compartment (hazardous material)</t>
  </si>
  <si>
    <t>Domestic Cleaning Equipment (large)</t>
  </si>
  <si>
    <t>10 m^2 / hour</t>
  </si>
  <si>
    <t>1 m^3 / hour</t>
  </si>
  <si>
    <t>50 m^2 / hour</t>
  </si>
  <si>
    <t>120 m^2 / hour</t>
  </si>
  <si>
    <t>5 m^3 / hour</t>
  </si>
  <si>
    <t>0.2 m^3 / hour</t>
  </si>
  <si>
    <t>0.5 m^3 / hour</t>
  </si>
  <si>
    <t>20 m^2 / hour</t>
  </si>
  <si>
    <t>100 m^2 / hour</t>
  </si>
  <si>
    <t>500 m^2 / hour</t>
  </si>
  <si>
    <t>Robotic Drone Controller (basic)</t>
  </si>
  <si>
    <t>Robotic Drone Controller (improved)</t>
  </si>
  <si>
    <t>Robotic Drone Controller (enhanced)</t>
  </si>
  <si>
    <t>Robotic Drone Controller (advanced)</t>
  </si>
  <si>
    <t>Voder Speaker (broad spectrum)</t>
  </si>
  <si>
    <t>Finalisation</t>
  </si>
  <si>
    <t>Weapon Mount (small)</t>
  </si>
  <si>
    <t>Weapon Mount (medium)</t>
  </si>
  <si>
    <t>Weapon Mount (heavy)</t>
  </si>
  <si>
    <t>Weapon Mount (vehicle)</t>
  </si>
  <si>
    <t>Weapon Mount Autoloader (small)</t>
  </si>
  <si>
    <t>Weapon Mount Autoloader (medium)</t>
  </si>
  <si>
    <t>Weapon Mount Autoloader (heavy)</t>
  </si>
  <si>
    <t>Weapon Mount Autoloader (vehicle)</t>
  </si>
  <si>
    <t>Transceiver 5 km (basic)</t>
  </si>
  <si>
    <t>Transceiver 5 km (improved)</t>
  </si>
  <si>
    <t>Transceiver 50 km (improved)</t>
  </si>
  <si>
    <t>Transceiver 50 km (enhanced)</t>
  </si>
  <si>
    <t>Transceiver 50 km (advanced)</t>
  </si>
  <si>
    <t>Transceiver 500 km (improved)</t>
  </si>
  <si>
    <t>Transceiver 500 km (enhanced)</t>
  </si>
  <si>
    <t>Transceiver 500 km (advanced)</t>
  </si>
  <si>
    <t>Storage Compartment (standard)</t>
  </si>
  <si>
    <t>Primitive (alert)</t>
  </si>
  <si>
    <t>Primitive (clean)</t>
  </si>
  <si>
    <t xml:space="preserve">Initial </t>
  </si>
  <si>
    <t>Options</t>
  </si>
  <si>
    <t>Basic (target)</t>
  </si>
  <si>
    <t>Primitive (homing)</t>
  </si>
  <si>
    <t>Updated block to include Locomotion and Manipulators. Added INT to Programming. Changed max resiliency to +/- 50%. INT formatting. Modified colum width and Finalisation formatting.</t>
  </si>
  <si>
    <t>Sort</t>
  </si>
  <si>
    <t>Transceiver 50 km (basic)</t>
  </si>
  <si>
    <t>Transceiver 500 km (basic)</t>
  </si>
  <si>
    <t>Camouflage: Audible (advanced)</t>
  </si>
  <si>
    <t>Camouflage: Audible (basic)</t>
  </si>
  <si>
    <t>Camouflage: Audible (improved)</t>
  </si>
  <si>
    <t>Camouflage: Olfactory (advanced)</t>
  </si>
  <si>
    <t>Camouflage: Olfactory (basic)</t>
  </si>
  <si>
    <t>Camouflage: Olfactory (improved)</t>
  </si>
  <si>
    <t>Camouflage: Visual (advanced)</t>
  </si>
  <si>
    <t>Camouflage: Visual (basic)</t>
  </si>
  <si>
    <t>Camouflage: Visual (enhanced)</t>
  </si>
  <si>
    <t>Camouflage: Visual (improved)</t>
  </si>
  <si>
    <t>Camouflage: Visual (primitive)</t>
  </si>
  <si>
    <t>Fabrication Chamber (basic)</t>
  </si>
  <si>
    <t>Fabrication Chamber (improved)</t>
  </si>
  <si>
    <t>Fabrication Chamber (enhanced)</t>
  </si>
  <si>
    <t>Fabrication Chamber (advanced)</t>
  </si>
  <si>
    <t>Special</t>
  </si>
  <si>
    <t>zznull</t>
  </si>
  <si>
    <t>zTBD</t>
  </si>
  <si>
    <t>TBD</t>
  </si>
  <si>
    <t>uncanny valley</t>
  </si>
  <si>
    <t>natural-looking</t>
  </si>
  <si>
    <t>natural, Invisitech</t>
  </si>
  <si>
    <t>natural, Invisitech, self-repairing</t>
  </si>
  <si>
    <t>pass as biological</t>
  </si>
  <si>
    <t>RTG Long Duration (basic)</t>
  </si>
  <si>
    <t>RTG Long Duration (improved)</t>
  </si>
  <si>
    <t>RTG Long Duration (advanced)</t>
  </si>
  <si>
    <t>RTG Short Duration (basic)</t>
  </si>
  <si>
    <t>RTG Short Duration (improved)</t>
  </si>
  <si>
    <t>RTG Short Duration (advanced)</t>
  </si>
  <si>
    <t>3 years half-life</t>
  </si>
  <si>
    <t>4 years half-life</t>
  </si>
  <si>
    <t>5 years half-life</t>
  </si>
  <si>
    <t>Primitive (evade)</t>
  </si>
  <si>
    <t>Athletics (dexterity) 1, Stealth 2</t>
  </si>
  <si>
    <t>Thermal Sensor</t>
  </si>
  <si>
    <t>IR vision</t>
  </si>
  <si>
    <t xml:space="preserve">Heavy Weapons (vehicle) 0, </t>
  </si>
  <si>
    <t xml:space="preserve">Heavy Weapons (portable) 0, </t>
  </si>
  <si>
    <t>Drive (</t>
  </si>
  <si>
    <t>(stopped)</t>
  </si>
  <si>
    <t>(idle)</t>
  </si>
  <si>
    <t>(very slow)</t>
  </si>
  <si>
    <t>(slow)</t>
  </si>
  <si>
    <t>(medium)</t>
  </si>
  <si>
    <t>(high)</t>
  </si>
  <si>
    <t>(fast)</t>
  </si>
  <si>
    <t>(very fast)</t>
  </si>
  <si>
    <t>(subsonic)</t>
  </si>
  <si>
    <t>(supersonic)</t>
  </si>
  <si>
    <t>(hypersonic)</t>
  </si>
  <si>
    <t>slow</t>
  </si>
  <si>
    <t>very slow</t>
  </si>
  <si>
    <t>high</t>
  </si>
  <si>
    <t>medium</t>
  </si>
  <si>
    <t>hypersonic</t>
  </si>
  <si>
    <t>Stealth (+1)</t>
  </si>
  <si>
    <t>Stealth (+2)</t>
  </si>
  <si>
    <t>Stealth (+3)</t>
  </si>
  <si>
    <t>Stealth (+4)</t>
  </si>
  <si>
    <t>(spare slot)</t>
  </si>
  <si>
    <t xml:space="preserve">IR Vision, </t>
  </si>
  <si>
    <t>Basic (none)</t>
  </si>
  <si>
    <t>Changed capitalisation on cell N15 to lower case</t>
  </si>
  <si>
    <t>Cutting Torch (basic)</t>
  </si>
  <si>
    <t>Cutting Torch (advanced)</t>
  </si>
  <si>
    <t>Fire Extinguisher</t>
  </si>
  <si>
    <t>Forklift (small)</t>
  </si>
  <si>
    <t>Forklift (medium)</t>
  </si>
  <si>
    <t>0.5 dtons maximum</t>
  </si>
  <si>
    <t>1.0 dtons maximum</t>
  </si>
  <si>
    <t>5.0 dtons maximum</t>
  </si>
  <si>
    <t>Forklift (large)</t>
  </si>
  <si>
    <t>DM+1 to Max skill</t>
  </si>
  <si>
    <t>Reanimation</t>
  </si>
  <si>
    <t>Fixed DEX enhancement cost for additional manipulator in cells P22:P28</t>
  </si>
  <si>
    <t>Added Slot increase for no locomotion</t>
  </si>
  <si>
    <t>Medical Chamber Option: Low berth (basic)</t>
  </si>
  <si>
    <t>Medical Chamber Option: Low berth (improved)</t>
  </si>
  <si>
    <t>DM+1 to revival</t>
  </si>
  <si>
    <t>DM+1 to Cryo &amp; revival</t>
  </si>
  <si>
    <t>Biological Robot (basic)</t>
  </si>
  <si>
    <t>Biological Robot (improved)</t>
  </si>
  <si>
    <t>Biological Robot (enhanced)</t>
  </si>
  <si>
    <t>Biological Robot (advanced)</t>
  </si>
  <si>
    <t>Microbot Design Worksheet</t>
  </si>
  <si>
    <t>Armour (Base =  +0)</t>
  </si>
  <si>
    <t>Microbot</t>
  </si>
  <si>
    <t>Microbot Manipulator</t>
  </si>
  <si>
    <t>Zero Slot Options</t>
  </si>
  <si>
    <t>Microbot Brains Table</t>
  </si>
  <si>
    <t>Very Advanced</t>
  </si>
  <si>
    <t>Recon 0,</t>
  </si>
  <si>
    <t>Basic (recon)</t>
  </si>
  <si>
    <t xml:space="preserve">Explosives 1, Recon 0, </t>
  </si>
  <si>
    <t>Recon 2,</t>
  </si>
  <si>
    <t>Solar Coating (basic)</t>
  </si>
  <si>
    <t>Solar Coating (improved)</t>
  </si>
  <si>
    <t>Solar Coating (enhanced)</t>
  </si>
  <si>
    <t>Solar Coating (advanced)</t>
  </si>
  <si>
    <t xml:space="preserve">Small (-4), </t>
  </si>
  <si>
    <t>Light Intensifier Sensor (basic)</t>
  </si>
  <si>
    <t>Light Intensifier Sensor (advanced)</t>
  </si>
  <si>
    <t>Tab</t>
  </si>
  <si>
    <t>Reference</t>
  </si>
  <si>
    <t>Brain</t>
  </si>
  <si>
    <t>None or Drone</t>
  </si>
  <si>
    <t>2 m^3 / hour</t>
  </si>
  <si>
    <t>8m^3 / hour</t>
  </si>
  <si>
    <t>Bioreaction Chamber (basic)</t>
  </si>
  <si>
    <t>Bioreaction Chamber (improved)</t>
  </si>
  <si>
    <t>Bioreaction Chamber (enhanced)</t>
  </si>
  <si>
    <t>Bioreaction Chamber (advanced)</t>
  </si>
  <si>
    <t>Microbes</t>
  </si>
  <si>
    <t>Tissues</t>
  </si>
  <si>
    <t>Complex organisms</t>
  </si>
  <si>
    <t>Accelerated growth</t>
  </si>
  <si>
    <t>Cutting Torch (improved)</t>
  </si>
  <si>
    <t>Wheels, ATV</t>
  </si>
  <si>
    <t>Laser Designator</t>
  </si>
  <si>
    <t>1.33M</t>
  </si>
  <si>
    <t>Micro-only fix of final speed computation in cell J12</t>
  </si>
  <si>
    <t>Vacuum Environment Protection (biological)</t>
  </si>
  <si>
    <t>Avatar Controller (basic)</t>
  </si>
  <si>
    <t>Avatar Controller (improved)</t>
  </si>
  <si>
    <t>Avatar Controller (enhanced)</t>
  </si>
  <si>
    <t>Avatar Controller (advanced)</t>
  </si>
  <si>
    <t>Basic (locomotion)</t>
  </si>
  <si>
    <t xml:space="preserve">Athletics (dexterity) X, Vehicle (type) X, </t>
  </si>
  <si>
    <t>Fixed Final Speed(J14) to add Agility modifier - add Final Agility (J13), not base Agility(J5)</t>
  </si>
  <si>
    <t>PP</t>
  </si>
  <si>
    <t>Ath(end)</t>
  </si>
  <si>
    <t>Aeroplane</t>
  </si>
  <si>
    <t>Android</t>
  </si>
  <si>
    <t>Android (basic)</t>
  </si>
  <si>
    <t>Android (improved)</t>
  </si>
  <si>
    <t>Android (enhanced)</t>
  </si>
  <si>
    <t>Android (advanced)</t>
  </si>
  <si>
    <t>Android (superior)</t>
  </si>
  <si>
    <t>Android price mod in cells L36:L56 plus Sum formula in P91. Fixed brain slot computation in cell E64. Blanks Additional Options defaults</t>
  </si>
  <si>
    <t>Added Biological Robot to Skinjob logic in cells L36:L56; Initial cut at Microbot worksheet</t>
  </si>
  <si>
    <t>Modified Armour logic to account for Skinjob (always Base Armour= 0) in Cells A7 and J7</t>
  </si>
  <si>
    <t>End Final</t>
  </si>
  <si>
    <r>
      <t xml:space="preserve">Changed base Endurance to be modified by TL12+ (+50%) or TL15+ (100%) in cell K14; Changed Athletics (endurance) to only apply to power packs in cell O9 </t>
    </r>
    <r>
      <rPr>
        <sz val="9"/>
        <color rgb="FFFF0000"/>
        <rFont val="Calibri"/>
        <family val="2"/>
        <scheme val="minor"/>
      </rPr>
      <t>(retrofitted via Global Search and Replace)</t>
    </r>
  </si>
  <si>
    <r>
      <t xml:space="preserve">Change 'Skinjob' to 'Android" in logic in cells L36:L56 </t>
    </r>
    <r>
      <rPr>
        <sz val="9"/>
        <color rgb="FFFF0000"/>
        <rFont val="Calibri"/>
        <family val="2"/>
        <scheme val="minor"/>
      </rPr>
      <t>(retrofitted via Global Search and Replace)</t>
    </r>
  </si>
  <si>
    <t>Auditory Sensor</t>
  </si>
  <si>
    <t>Auditory Sensor (broad spectrum)</t>
  </si>
  <si>
    <t>Quick Charger</t>
  </si>
  <si>
    <t>1 hour recharge</t>
  </si>
  <si>
    <t>50 m Safe Depth</t>
  </si>
  <si>
    <t>200 m Safe Depth</t>
  </si>
  <si>
    <t>600 m Safe Depth</t>
  </si>
  <si>
    <t>2000 m Safe Depth</t>
  </si>
  <si>
    <t>4000 m Safe Depth</t>
  </si>
  <si>
    <t>Video Projector</t>
  </si>
  <si>
    <t>Holographic Projector</t>
  </si>
  <si>
    <t>Added Retrotech for TL12+ brains to cell P64</t>
  </si>
  <si>
    <t>Fixed armour for Androids in cell N7</t>
  </si>
  <si>
    <t>For Travellers: DM+0</t>
  </si>
  <si>
    <t>For Travellers: DM+1</t>
  </si>
  <si>
    <t>For Travellers: DM-4</t>
  </si>
  <si>
    <t>For Travellers: DM-2</t>
  </si>
  <si>
    <t>Fixed Total Cost in P91 to roundup to a whole number  to avoid erronous rounding discount calculation; changed B7 to fix data validation error (loop)</t>
  </si>
  <si>
    <t>2D: 640x480</t>
  </si>
  <si>
    <t>2D: 1920x1080</t>
  </si>
  <si>
    <t>3D:16Kx9K</t>
  </si>
  <si>
    <t>Video Screen (basic)</t>
  </si>
  <si>
    <t>Video Screen (improved)</t>
  </si>
  <si>
    <t>Video Screen (advanced)</t>
  </si>
  <si>
    <t>Robot Design Worksheet Instruction (WIP)</t>
  </si>
  <si>
    <t>2. Right-Click</t>
  </si>
  <si>
    <t>To create a new robot, make a copy of the "Blank" worksheet tab:</t>
  </si>
  <si>
    <t>To create a robot on a worksheet follow these guidelines:</t>
  </si>
  <si>
    <t>Hint: Removing locomotion or manipulators can gain slots for other uses.</t>
  </si>
  <si>
    <t>To copy the Robot Block into Word:</t>
  </si>
  <si>
    <t>The yellow cell E2 computes the number of available slots on the robot. When the design exceeds the available slots, E2 will turn negative and red.</t>
  </si>
  <si>
    <t>To add a robot to the Summary Tab:</t>
  </si>
  <si>
    <t>Overview of Tabs:</t>
  </si>
  <si>
    <t>Instruction</t>
  </si>
  <si>
    <t>Summary</t>
  </si>
  <si>
    <t>This tab</t>
  </si>
  <si>
    <t>Overview table of robot worksheets</t>
  </si>
  <si>
    <t>Blank</t>
  </si>
  <si>
    <t>Micro</t>
  </si>
  <si>
    <t>Blank master sheet for microbot creation</t>
  </si>
  <si>
    <t>Source tables for Chassis, locomotion, armour and speed bands</t>
  </si>
  <si>
    <t>Source tables for robot brains</t>
  </si>
  <si>
    <t>Blank master sheet for robot creation</t>
  </si>
  <si>
    <t>Source table for all robot physical options</t>
  </si>
  <si>
    <t>Source tables for all brain specialisations and skill packages</t>
  </si>
  <si>
    <t>Set the Tech Level in Cell O2; this cell has drop-down values  from TL7 to 18. If selected components are above the selected TL, they will turn the cell in the TL column red.</t>
  </si>
  <si>
    <t>Purpose</t>
  </si>
  <si>
    <t>6. Click "Okay"</t>
  </si>
  <si>
    <t>4. Click the "Create a Copy…" Checkbox</t>
  </si>
  <si>
    <t xml:space="preserve">This will create a new tab called "Blank (2)". Right-click to rename the tab. </t>
  </si>
  <si>
    <t>1. Select the "Blank" tab</t>
  </si>
  <si>
    <t>If you accidently moved "Blank" instead of copying, you can repeat the procedure correctly to make a copy and move the Blank tab back.</t>
  </si>
  <si>
    <t>Most green cells have drop-downs fed from source tables which will show up as a grey downward arrow box to the right of the cell when selected.</t>
  </si>
  <si>
    <t>Many green cells use Data Validation and throw an error message when values are outside allowed values.</t>
  </si>
  <si>
    <t>Cells P2 and P91 display the total raw cost of components, including the tripling costs for Android and Biologicals.</t>
  </si>
  <si>
    <t>The finalisation Cost in cell F97 is computed from cell P91, the rounding significant digits in cell B108 and the discount percentage in B110.</t>
  </si>
  <si>
    <t>Select and Copy the cells B96:F104.</t>
  </si>
  <si>
    <t>In Word, Right-Click the blank line for the start of the Robot Block.</t>
  </si>
  <si>
    <t>Select Paste Options: Use Destination Style (the second choice).</t>
  </si>
  <si>
    <t>Edit the Block by correcting any alphabetisation or formatting artefacts.</t>
  </si>
  <si>
    <t>Added logic to account for None/Drone brains to Blank and Micro tabs in B103 and B60, respectively</t>
  </si>
  <si>
    <t>Fixed Retrotech bug in P64 to prevent Advanced-12 brains from getting too cheap</t>
  </si>
  <si>
    <t>+ Geiger counter</t>
  </si>
  <si>
    <t>Submersible Environment Protection 50 m (basic)</t>
  </si>
  <si>
    <t>Submersible Environment Protection 200m (improved)</t>
  </si>
  <si>
    <t>Submersible Environment Protection 600 m (enhanced)</t>
  </si>
  <si>
    <t>Submersible Environment Protection 2000 m (advanced)</t>
  </si>
  <si>
    <t>Submersible Environment Protection 4000 m (superior)</t>
  </si>
  <si>
    <t>20-20,000 Hz, 0dB</t>
  </si>
  <si>
    <t>1-100,000 Hz, -10dB</t>
  </si>
  <si>
    <t>+visual &amp; thermal sensors</t>
  </si>
  <si>
    <t>+Atmos, b-s audio, visual</t>
  </si>
  <si>
    <t>Includes 500 rads</t>
  </si>
  <si>
    <t>AP= base armour for TL</t>
  </si>
  <si>
    <t xml:space="preserve">x12 maintenance </t>
  </si>
  <si>
    <t>x24 maintenance</t>
  </si>
  <si>
    <t>x60 maintenance</t>
  </si>
  <si>
    <t>no maintenance</t>
  </si>
  <si>
    <t>Camouflage: Visual (superior)</t>
  </si>
  <si>
    <t>Medical Chamber Option: Nanobot applicator</t>
  </si>
  <si>
    <t>Medical Chamber Option: Nanobot generator</t>
  </si>
  <si>
    <t>Intellect Upgrade</t>
  </si>
  <si>
    <t>3. Select 'Move or Copy…"</t>
  </si>
  <si>
    <t>5. Scroll down the main dialog box past the Notes tab</t>
  </si>
  <si>
    <t>A similar copy procedure on the Red "Micro" tab will create a new worksheet for a Microbot</t>
  </si>
  <si>
    <t>Editable cells are in green; nothing prevents you from change other cells, but  directly editing them will alter spreadsheet behaviour.</t>
  </si>
  <si>
    <t>Give the robot a name in Cell B2.</t>
  </si>
  <si>
    <t>Base Chassis Cost:</t>
  </si>
  <si>
    <t>Basic Cost:</t>
  </si>
  <si>
    <t>Added label for Base Chassis Cost, implemented -1 Base Armour cost savings in Cells B7 and P7. Changes to base manipulator costs in P19:P20</t>
  </si>
  <si>
    <t>Fly = null | Ground = 1m</t>
  </si>
  <si>
    <t>Fly = null | Ground = 2m</t>
  </si>
  <si>
    <t>Fly = 1m  | Ground = 4m</t>
  </si>
  <si>
    <t>Fly = 2m  | Ground = full</t>
  </si>
  <si>
    <t xml:space="preserve">Recon 0, Weapon 0, </t>
  </si>
  <si>
    <t xml:space="preserve">Recon 0, Weapon 0, Tactics (military) 2, </t>
  </si>
  <si>
    <t>Stylist Toolkit</t>
  </si>
  <si>
    <t>species-specific</t>
  </si>
  <si>
    <t>Self-Destruct System: Defensive</t>
  </si>
  <si>
    <t>Self-Destruct System: Offensive</t>
  </si>
  <si>
    <t>Self-Destruct System: TDX</t>
  </si>
  <si>
    <t>Self-Destruct System: Nuclear</t>
  </si>
  <si>
    <t>Parasite Link</t>
  </si>
  <si>
    <t>High Fidelity Sound System (basic)</t>
  </si>
  <si>
    <t>High Fidelity Sound System (improved)</t>
  </si>
  <si>
    <t>High Fidelity Sound System (advanced)</t>
  </si>
  <si>
    <t>High Fidelity Sound System (enhanced)</t>
  </si>
  <si>
    <t>focussed sound</t>
  </si>
  <si>
    <t>'live' performance</t>
  </si>
  <si>
    <t>Corrosive Environment Protection: Microbot</t>
  </si>
  <si>
    <t>Insidious Environment Protection: Microbot</t>
  </si>
  <si>
    <t>Radiation Environment Protection: Microbot</t>
  </si>
  <si>
    <t>1.40M</t>
  </si>
  <si>
    <t>Micro-only fix for advanced mircobot environmental options in Cell P48</t>
  </si>
  <si>
    <t>Versioning Change Log</t>
  </si>
  <si>
    <t>Running change log of spreadsheet changes. The current version of the Blank worksheet is noted in cell P1</t>
  </si>
  <si>
    <t>Microbot Defensive Self-Destruct</t>
  </si>
  <si>
    <t>Microbot Offensive Self-Destruct</t>
  </si>
  <si>
    <t>Cost multiplier only</t>
  </si>
  <si>
    <t>Self-Maintenance Enhancement (basic)</t>
  </si>
  <si>
    <t>Self-Maintenance Enhancement (improved)</t>
  </si>
  <si>
    <t>Self-Maintenance Enhancement (enhanced)</t>
  </si>
  <si>
    <t>Self-Maintenance Enhancement (advanced)</t>
  </si>
  <si>
    <t>Fixed Android base armour dsiplay to a space in Cell A7</t>
  </si>
  <si>
    <t>Recon</t>
  </si>
  <si>
    <t>Stealth</t>
  </si>
  <si>
    <t>Limited language, Security/0</t>
  </si>
  <si>
    <t>Limited Friend or Foe, Security/1</t>
  </si>
  <si>
    <t>Intelligent Interface, Expert/1, Security/1</t>
  </si>
  <si>
    <t>Intellect Interface, Expert/2, Security/2</t>
  </si>
  <si>
    <t>Near sentient, Expert/3, Security/3</t>
  </si>
  <si>
    <t>Conscious Intelligence, Security/3</t>
  </si>
  <si>
    <t>Cost/Slot</t>
  </si>
  <si>
    <r>
      <t xml:space="preserve">New Armour cost value in cell P7: old: =IF(B7&gt;-1,XLOOKUP($O$2,Armour[TL],Armour[Cost]*P5*B7,,,),-P5*0.2) 
new: =IF(B7&gt;-1,XLOOKUP($O$2,Armour[TL],-Armour[Cost/Slot]*E7,,,),-P5*0.1)  </t>
    </r>
    <r>
      <rPr>
        <sz val="9"/>
        <color rgb="FFFF0000"/>
        <rFont val="Calibri"/>
        <family val="2"/>
        <scheme val="minor"/>
      </rPr>
      <t>(retrofitted via Global Search and Replace)</t>
    </r>
  </si>
  <si>
    <t>Fixed Cell B98 to include any skills from Default Suite options</t>
  </si>
  <si>
    <t>Initial "Public" release. Removed Drone Control Interface (enhanced)</t>
  </si>
  <si>
    <t>Size0</t>
  </si>
  <si>
    <t>1</t>
  </si>
  <si>
    <t>Type the name of the robot's worksheet tab in Column B of the spreadsheet</t>
  </si>
  <si>
    <t>Known Limitations:</t>
  </si>
  <si>
    <t xml:space="preserve">Installed Weapons Section: This section requires manual entry of weapons and their properties. Weapons should have a mount installed in the Additional Options section </t>
  </si>
  <si>
    <t>Size 0 robots have no error checking for the number of slotted options installed. TL ÷ 2 (round down) are allowed, including Size 0 weapons (limited to 0.5 kg) and their mounts</t>
  </si>
  <si>
    <t>Add a row to the existing table. This should auto-populate formulas in the new row, mostly with '#REF'</t>
  </si>
  <si>
    <t>Summary values should appear unless rows have been manually added to the robot's worksheet tab.</t>
  </si>
  <si>
    <t>Support for Small (Size 0) robots. Include Size 0 Manipulators by changing Size to 1 in cells B19-B26. Fixed cost of Self-Repairing Chassis. Updated Summary worksheet formulas</t>
  </si>
  <si>
    <t>Size 0 weapons mounts are not supported and should be manually entered with the weapon in the Weapons section. Weapon and Mount counts as 2 slotted items.</t>
  </si>
  <si>
    <t>2 Bug Fixes: All robots were receiving the 0 Slot size granted to Size 0 robots to allowed slotted items. Size 0 were getting percentage slotted items for 0 Slots.</t>
  </si>
  <si>
    <t>v 1.51</t>
  </si>
  <si>
    <t>Ship's Computer Emulator</t>
  </si>
  <si>
    <t>Standard Design</t>
  </si>
  <si>
    <t>Standard Skill/Software Packages</t>
  </si>
  <si>
    <t>Adjusted Skills/Capability</t>
  </si>
  <si>
    <t>Clone Creator/1</t>
  </si>
  <si>
    <t>Modify DNA to prep for basic cloning</t>
  </si>
  <si>
    <t>Clone Creator/2</t>
  </si>
  <si>
    <t>Create novel organisms from a natural template</t>
  </si>
  <si>
    <t>Clone Creator/3</t>
  </si>
  <si>
    <t>Create organisms to specifications from scratch</t>
  </si>
  <si>
    <t>Drone Control/1</t>
  </si>
  <si>
    <t>Control DM +0</t>
  </si>
  <si>
    <t>Drone Control/2</t>
  </si>
  <si>
    <t>Control DM +1</t>
  </si>
  <si>
    <t>Fab Creator/1</t>
  </si>
  <si>
    <t>Basic Fabricator output</t>
  </si>
  <si>
    <t>Fab Creator/2</t>
  </si>
  <si>
    <t>Improved Fabricator output</t>
  </si>
  <si>
    <t>Fab Creator/3</t>
  </si>
  <si>
    <t>Enhanced Fabricator output</t>
  </si>
  <si>
    <t>Fab Creator/4</t>
  </si>
  <si>
    <t>Advanced Fabricator output</t>
  </si>
  <si>
    <t>Swarm Control/1</t>
  </si>
  <si>
    <t>Swarm Control/2</t>
  </si>
  <si>
    <t>Swarm Control/3</t>
  </si>
  <si>
    <t>Swarm Control/4</t>
  </si>
  <si>
    <t>Medical Chamber Option: Species-specific add-on:</t>
  </si>
  <si>
    <t>Add race:</t>
  </si>
  <si>
    <t>Cost w/Discount</t>
  </si>
  <si>
    <t>Discount</t>
  </si>
  <si>
    <t>Sig Digits</t>
  </si>
  <si>
    <t>1 avatar, 2 bandwidth</t>
  </si>
  <si>
    <t>2 avatars, 6 bandwidth</t>
  </si>
  <si>
    <t>4 avatars, 13 bandwidth</t>
  </si>
  <si>
    <t>8 avatars, 25 bandwidth</t>
  </si>
  <si>
    <t>Avatar Controller (superior)</t>
  </si>
  <si>
    <t>64 avatars, 80 bandwidth</t>
  </si>
  <si>
    <t>Avatar Receiver (basic)</t>
  </si>
  <si>
    <t>2 bandwidth</t>
  </si>
  <si>
    <t>Avatar Receiver (improved)</t>
  </si>
  <si>
    <t>6 bandwidth</t>
  </si>
  <si>
    <t>Avatar Receiver (enhanced)</t>
  </si>
  <si>
    <t>10 bandwidth</t>
  </si>
  <si>
    <t>Avatar Receiver (advanced)</t>
  </si>
  <si>
    <t>15 bandwidth</t>
  </si>
  <si>
    <t>Avatar Receiver (superior)</t>
  </si>
  <si>
    <t>30 bandwidth</t>
  </si>
  <si>
    <t>Cost Without Discount</t>
  </si>
  <si>
    <t>Version</t>
  </si>
  <si>
    <t>Superior AutoBerth</t>
  </si>
  <si>
    <t>Advanced AutoBerth</t>
  </si>
  <si>
    <t>Enhanced AutoBerth</t>
  </si>
  <si>
    <t>Improved AutoBerth</t>
  </si>
  <si>
    <t>Basic AutoBerth</t>
  </si>
  <si>
    <t>Basic Emergency AutoBerth</t>
  </si>
  <si>
    <t>Improved Emergency AutoBerth</t>
  </si>
  <si>
    <t>Enhanced Emergency AutoBerth</t>
  </si>
  <si>
    <t>Advanced Emergency AutoBerth</t>
  </si>
  <si>
    <t>Superior Emergency AutoBerth</t>
  </si>
  <si>
    <t>Basic AutoBerth Cluster (compact)</t>
  </si>
  <si>
    <t>Superior AutoBerth Cluster (compact)</t>
  </si>
  <si>
    <t>Advanced AutoBerth Cluster (compact)</t>
  </si>
  <si>
    <t>Enhanced AutoBerth Cluster (compact)</t>
  </si>
  <si>
    <t>Improved AutoBerth Cluster (compact)</t>
  </si>
  <si>
    <t>Basic AutoBerth Cluster</t>
  </si>
  <si>
    <t>Improved AutoBerth Cluster</t>
  </si>
  <si>
    <t>Enhanced AutoBerth Cluster</t>
  </si>
  <si>
    <t>Advanced AutoBerth Cluster</t>
  </si>
  <si>
    <t>Description</t>
  </si>
  <si>
    <t>The 4-person Basic AutoBerth Cluster (compact) provides low berth capability on par with the one in High Guard 2022 Update, but is built in the same 1-ton form factor as an emergency low berth though it houses the passengers in seperate internal units so each gets an individual survival roll. The internal units are cramped, though they can house an adult human. Anyone of larger girth won't fit. It also has minimal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(basic): +0
Medic 1: +1
INT 3: -1
Mod: +0
Passenger Survival (with 1Dx10 minutes revival times):
Passenger END 0: 9+ (27.8%)
Passenger END 1-2: 8+ (41.7%)
Passenger END 3-5: 7+ (58.4%)
Passenger END 6-8: 6+ (72.3%)
Passenger END 9-11: 5+ (83.4%)
Passenger END 12-14: 4+ (91.7%)
Passenger END 15+: 3+ (97.3%)
There is a serious chance of dying even for the healthy using the default revival times. An average Joe has an almost 3 in 10 chance of croaking. I’d recommend taking 1D Hours for revival which grants a +2 to survival rolls.
If you do, these are your amended odds of living to tell the tale.
Passenger Survival (with 1D hours revival times):
Passenger END 0: 7+ (58.4%)
Passenger END 1-2: 6+ (72.3%)
Passenger END 3-5: 5+ (83.4%)
Passenger END 6-8: 4+ (91.7%)
Passenger END 9-11: 3+ (97.3%)
Passenger END 12+: Automatic
Better, but still chancy as the average Joe still has almost a 1 in 10 chance of dying. Put another way, even with all the care one can give using this autodoc, a ship with ten low berths will almost always have someone die every jump. That has to take a toll.</t>
  </si>
  <si>
    <t>The 3-person Enhanced AutoBerth Cluster is a cut above the Improved model and gives automatic survival to everyone at the standard revival timeframe. It is built in the same 1-ton form factor as an emergency low berth though it houses the passengers in seperate internal units so each gets an individual survival roll.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2: +2
INT 9: +1
Low Berth (improved) +1
Mod: +7
Passenger Survival: Automatic
With these odds, one could jump the revival time to 1D minutes for most patients and accept the -2 to survival for all but the frailest of passengers. That would save a lot of time and is a selling point for these units.
Passenger Survival:
Passenger END 0: 4+ (91.7%)
Passenger END 1-2: 3+ (97.3%)
Passenger END 3+: Automatic</t>
  </si>
  <si>
    <t>The 3-person Improved AutoBerth Cluster is a step up from the Basic model and its survival rates reflect that. It is built in the same 1-ton form factor as an emergency low berth though it houses the passengers in seperate internal units so each gets an individual survival roll.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(enhanced): +2
Medic 2: +2
INT 9: +1
Low Berth (improved) +1
Mod: +6
Passenger Survival (with 1Dx10 minutes revival times):
Passenger END 0: 3+ (97.3%)
Passenger END 1+: Automatic
That delivers almost flawless recovery. Only the very frailest would require 1D hours to wake and they would automatically survive.</t>
  </si>
  <si>
    <t>The 3-person Basic AutoBerth Cluster has low berth capability on par with the one in High Guard 2022 Update, but is built in the same 1-ton form factor as an emergency low berth though it houses the passengers in seperate internal units so each gets an individual survival roll. It also has minimal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(basic): +0
Medic 1: +1
INT 3: -1
Mod: +0
Passenger Survival (with 1Dx10 minutes revival times):
Passenger END 0: 9+ (27.8%)
Passenger END 1-2: 8+ (41.7%)
Passenger END 3-5: 7+ (58.4%)
Passenger END 6-8: 6+ (72.3%)
Passenger END 9-11: 5+ (83.4%)
Passenger END 12-14: 4+ (91.7%)
Passenger END 15+: 3+ (97.3%)
There is a serious chance of dying even for the healthy using the default revival times. An average Joe has an almost 3 in 10 chance of croaking. I’d recommend taking 1D Hours for revival which grants a +2 to survival rolls.
If you do, these are your amended odds of living to tell the tale.
Passenger Survival (with 1D hours revival times):
Passenger END 0: 7+ (58.4%)
Passenger END 1-2: 6+ (72.3%)
Passenger END 3-5: 5+ (83.4%)
Passenger END 6-8: 4+ (91.7%)
Passenger END 9-11: 3+ (97.3%)
Passenger END 12+: Automatic
Better, but still chancy as the average Joe still has almost a 1 in 10 chance of dying. Put another way, even with all the care one can give using this autodoc, a ship with ten low berths will almost always have someone die every jump. That has to take a toll.</t>
  </si>
  <si>
    <t xml:space="preserve">The 3-person Advanced AutoBerth Cluster reduces passenger deaths at 1D minutes to only the most frail who would need 1Dx10 minutes revival times. It is built in the same 1-ton form factor as an emergency low berth though it houses the passengers in seperate internal units so each gets an individual survival roll.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9: +1
Low Berth (improved) +1
Mod: +8
Passenger Survival: Automatic
Passenger Survival at 1D minutes revival time:
Passenger END 0: 3+ (97.3%)
Passenger END 1+: Automatic
</t>
  </si>
  <si>
    <t>The 4-person Advanced AutoBerth Cluster (compact) reduces passenger deaths at 1D minutes to only the most frail who would need 1Dx10 minutes revival times. It is built in the same 1-ton form factor as an emergency low berth though it houses the passengers in seperate internal units so each gets an individual survival roll. The units are cramped, though they can house an adult human. Anyone of larger girth won't fit.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9: +1
Low Berth (improved) +1
Mod: +8
Passenger Survival: Automatic
Passenger Survival at 1D minutes revival time:
Passenger END 0: 3+ (97.3%)
Passenger END 1+: Automatic</t>
  </si>
  <si>
    <t>The 4-person Enhanced AutoBerth Cluster (compact) is a cut above the Improved model and gives automatic survival to everyone at the standard revival timeframe. It is built in the same 1-ton form factor as an emergency low berth though it houses the passengers in seperate internal units so each gets an individual survival roll. The units are cramped, though they can house an adult human. Anyone of larger girth won't fit.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2: +2
INT 9: +1
Low Berth (improved) +1
Mod: +7
Passenger Survival: Automatic
With these odds, one could jump the revival time to 1D minutes for most patients and accept the -2 to survival for all but the frailest of passengers. That would save a lot of time and is a selling point for these units.
Passenger Survival:
Passenger END 0: 4+ (91.7%)
Passenger END 1-2: 3+ (97.3%)
Passenger END 3+: Automatic</t>
  </si>
  <si>
    <t>The 4-person Improved AutoBerth Cluster (compact) is a step up from the Basic model and its survival rates reflect that. It is built in the same 1-ton form factor as an emergency low berth though it houses the passengers in seperate internal units so each gets an individual survival roll. The units are cramped, though they can house an adult human. Anyone of larger girth won't fit.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(enhanced): +2
Medic 2: +2
INT 9: +1
Low Berth (improved) +1
Mod: +6
Passenger Survival (with 1Dx10 minutes revival times):
Passenger END 0: 3+ (97.3%)
Passenger END 1+: Automatic
That delivers almost flawless recovery. Only the very frailest would require 1D hours to wake and they would automatically survive.</t>
  </si>
  <si>
    <t>The 4-person Superior AutoBerth Cluster (compact), manufactured on Vincennes, is designed for the most discerning passengers. Automatic survival for everyone, even at 1D minutes. It is built in the same 1-ton form factor as an emergency low berth though it houses the passengers in seperate internal units. The units are cramped, though they can house an adult human. Anyone of larger girth won't fit.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12: +2
Low Berth (improved) +1
Mod: +9
Passenger Survival: Automatic
And at 1D6 minutes revival:
Passenger Survival: Automatic</t>
  </si>
  <si>
    <t>The 3-person Superior AutoBerth Cluster, manufactured on Vincennes, is designed for the most discerning passengers. Automatic survival for everyone, even at 1D minutes. It is built in the same 1-ton form factor as an emergency low berth.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12: +2
Low Berth (improved) +1
Mod: +9
Passenger Survival: Automatic
And at 1D6 minutes revival:
Passenger Survival: Automatic</t>
  </si>
  <si>
    <t>Superior AutoBerth Cluster</t>
  </si>
  <si>
    <t>The single passenger Improved AutoBerth is a step up from the Basic model and its survival rates reflect that, and it fits in a standard low berth housing.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(enhanced): +2
Medic 2: +2
INT 9: +1
Low Berth (improved) +1
Mod: +6
Passenger Survival (with 1Dx10 minutes revival times):
Passenger END 0: 3+ (97.3%)
Passenger END 1+: Automatic
That delivers almost flawless recovery. Only the very frailest would require 1D hours to wake and they would automatically survive.</t>
  </si>
  <si>
    <t>The single passenger Enhanced AutoBerth is a cut above the Improved model and gives automatic survival to everyone at the standard revival timeframe, and it fits in a standard low berth housing.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2: +2
INT 9: +1
Low Berth (improved) +1
Mod: +7
Passenger Survival: Automatic
With these odds, one could jump the revival time to 1D minutes for most patients and accept the -2 to survival for all but the frailest of passengers. That would save a lot of time and is a selling point for these units.
Passenger Survival:
Passenger END 0: 4+ (91.7%)
Passenger END 1-2: 3+ (97.3%)
Passenger END 3+: Automatic</t>
  </si>
  <si>
    <t>The single passenger Advanced AutoBerth reduces passenger deaths at 1D minutes to only the most frail who would need 1Dx10 minutes revival times and it fits in a standard low berth housing.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9: +1
Low Berth (improved) +1
Mod: +8
Passenger Survival: Automatic
Passenger Survival at 1D minutes revival time:
Passenger END 0: 3+ (97.3%)
Passenger END 1+: Automatic</t>
  </si>
  <si>
    <t>The single passenger Superior AutoBerth, manufactured on Vincennes, is designed for the most discerning passengers. Automatic survival for everyone, even at 1D minutes, and it fits in a standard low berth housing.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12: +2
Low Berth (improved) +1
Mod: +9
Passenger Survival: Automatic
And at 1D6 minutes revival:
Passenger Survival: Automatic</t>
  </si>
  <si>
    <t>The single passenger Basic AutoBerth has low berth capability on par with the one in High Guard 2022 Update and it fits in a standard low berth housing. It also has minimal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(basic): +0
Medic 1: +1
INT 3: -1
Mod: +0
Passenger Survival (with 1Dx10 minutes revival times):
Passenger END 0: 9+ (27.8%)
Passenger END 1-2: 8+ (41.7%)
Passenger END 3-5: 7+ (58.4%)
Passenger END 6-8: 6+ (72.3%)
Passenger END 9-11: 5+ (83.4%)
Passenger END 12-14: 4+ (91.7%)
Passenger END 15+: 3+ (97.3%)
There is a serious chance of dying even for the healthy using the default revival times. An average Joe has an almost 3 in 10 chance of croaking. I’d recommend taking 1D Hours for revival which grants a +2 to survival rolls.
If you do, these are your amended odds of living to tell the tale.
Passenger Survival (with 1D hours revival times):
Passenger END 0: 7+ (58.4%)
Passenger END 1-2: 6+ (72.3%)
Passenger END 3-5: 5+ (83.4%)
Passenger END 6-8: 4+ (91.7%)
Passenger END 9-11: 3+ (97.3%)
Passenger END 12+: Automatic
Better, but still chancy as the average Joe still has almost a 1 in 10 chance of dying. Put another way, even with all the care one can give using this autodoc, a ship with ten low berths will almost always have someone die every jump. That has to take a toll.</t>
  </si>
  <si>
    <t>The Basic Emergency AutoBerth provides low berth capability on par with the one in High Guard 2022 Update, though it houses five passengers of average adult human size while still fitting in a standard 1-ton emergency low berth housing. Larger individuals will reduce the capacity. As all passengers are housed in the same chamber, they share a revival roll though their END modifier may change their results. It also has minimal AutoDoc capabilities.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(basic): +0
Medic 1: +1
INT 3: -1
Mod: +0
Passenger Survival (with 1Dx10 minutes revival times):
Passenger END 0: 9+ (27.8%)
Passenger END 1-2: 8+ (41.7%)
Passenger END 3-5: 7+ (58.4%)
Passenger END 6-8: 6+ (72.3%)
Passenger END 9-11: 5+ (83.4%)
Passenger END 12-14: 4+ (91.7%)
Passenger END 15+: 3+ (97.3%)
There is a serious chance of dying even for the healthy using the default revival times. An average Joe has an almost 3 in 10 chance of croaking. I’d recommend taking 1D Hours for revival which grants a +2 to survival rolls.
If you do, these are your amended odds of living to tell the tale.
Passenger Survival (with 1D hours revival times):
Passenger END 0: 7+ (58.4%)
Passenger END 1-2: 6+ (72.3%)
Passenger END 3-5: 5+ (83.4%)
Passenger END 6-8: 4+ (91.7%)
Passenger END 9-11: 3+ (97.3%)
Passenger END 12+: Automatic
Better, but still chancy as the average Joe still has almost a 1 in 10 chance of dying. Put another way, even with all the care one can give using this autodoc, a ship with ten low berths will almost always have someone die every jump. That has to take a toll.</t>
  </si>
  <si>
    <t>The Improved Emergency AutoBerth is a step up from the Basic model and its survival rates reflect that. It houses five passengers of average adult human size while still fitting in a standard 1-ton emergency low berth housing. Larger individuals will reduce the capacity. As all passengers are housed in the same chamber, they share a revival roll though their END modifier may change their results. It also has AutoDoc capabilities.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(enhanced): +2
Medic 2: +2
INT 9: +1
Low Berth (improved) +1
Mod: +6
Passenger Survival (with 1Dx10 minutes revival times):
Passenger END 0: 3+ (97.3%)
Passenger END 1+: Automatic
That delivers almost flawless recovery. Only the very frailest would require 1D hours to wake and they would automatically survive.</t>
  </si>
  <si>
    <t>The Advanced Emergency AutoBerth is a cut above the Enhanced model and improves passenger survival odds even more, reducing passenger deaths at 1D minutes to only the most frail. It houses five passengers of average adult human size while still fitting in a standard 1-ton emergency low berth housing. Larger individuals will reduce the capacity. As all passengers are housed in the same chamber, they share a revival roll though their END modifier may change their results. It also has AutoDoc capabilities.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9: +1
Low Berth (improved) +1
Mod: +8
Passenger Survival: Automatic
Passenger Survival at 1D minutes revival time:
Passenger END 0: 3+ (97.3%)
Passenger END 1+: Automatic</t>
  </si>
  <si>
    <t>The Superior Emergency AutoBerth, manufactured on Vincennes, is designed for the most discerning passengers. Automatic survival for everyone, even at 1D minutes. It houses five passengers of average adult human size while still fitting in a standard 1-ton emergency low berth housing. Larger individuals will reduce the capacity. It also has AutoDoc capabilities.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12: +2
Low Berth (improved) +1
Mod: +9
Passenger Survival: Automatic
And at 1D6 minutes revival:
Passenger Survival: Automatic</t>
  </si>
  <si>
    <t>The Enhanced Emergency AutoBerth is a cut above the Improved model and gives automatic survival to everyone at the standard revival timeframe while still fitting in a standard 1-ton emergency low berth housing. It houses five passengers of average adult human size. Larger individuals will reduce the capacity. As all passengers are housed in the same chamber, they share a revival roll though their END modifier may change their results. It also has AutoDoc capabilities.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2: +2
INT 9: +1
Low Berth (improved) +1
Mod: +7
Passenger Survival: Automatic
With these odds, one could jump the revival time to 1D minutes for most patients and accept the -2 to survival for all but the frailest of passengers. That would save a lot of time and is a selling point for these units.
Passenger Survival:
Passenger END 0: 4+ (91.7%)
Passenger END 1-2: 3+ (97.3%)
Passenger END 3+: Automatic</t>
  </si>
  <si>
    <t>Basic Emergency AutoBerth (Long Duration)</t>
  </si>
  <si>
    <t>Improved Emergency AutoBerth (Long Duration)</t>
  </si>
  <si>
    <t>Enhanced Emergency AutoBerth (Long Duration)</t>
  </si>
  <si>
    <t>Advanced Emergency AutoBerth (Long Duration)</t>
  </si>
  <si>
    <t>Superior Emergency AutoBerth (Long Duration)</t>
  </si>
  <si>
    <t>Basic AutoBerth (Long Duration)</t>
  </si>
  <si>
    <t>Improved AutoBerth (Long Duration)</t>
  </si>
  <si>
    <t>Enhanced AutoBerth (Long Duration)</t>
  </si>
  <si>
    <t>Advanced AutoBerth (Long Duration)</t>
  </si>
  <si>
    <t>Superior AutoBerth (Long Duration)</t>
  </si>
  <si>
    <t>The Basic Emergency AutoBerth (Long Duration) provides low berth capability on par with the one in High Guard 2022 Update and houses four passengers of average adult human size while still fitting in a standard 1-ton emergency low berth housing. Larger individuals will reduce the capacity. As all passengers are housed in the same chamber, they share a revival roll though their END modifier may change their results. It also has minimal AutoDoc capabilities. The enhanced internal power supply will keep the unit operational for 1,728 hours (72 days) after external power fails.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(basic): +0
Medic 1: +1
INT 3: -1
Mod: +0
Passenger Survival (with 1Dx10 minutes revival times):
Passenger END 0: 9+ (27.8%)
Passenger END 1-2: 8+ (41.7%)
Passenger END 3-5: 7+ (58.4%)
Passenger END 6-8: 6+ (72.3%)
Passenger END 9-11: 5+ (83.4%)
Passenger END 12-14: 4+ (91.7%)
Passenger END 15+: 3+ (97.3%)
There is a serious chance of dying even for the healthy using the default revival times. An average Joe has an almost 3 in 10 chance of croaking. I’d recommend taking 1D Hours for revival which grants a +2 to survival rolls.
If you do, these are your amended odds of living to tell the tale.
Passenger Survival (with 1D hours revival times):
Passenger END 0: 7+ (58.4%)
Passenger END 1-2: 6+ (72.3%)
Passenger END 3-5: 5+ (83.4%)
Passenger END 6-8: 4+ (91.7%)
Passenger END 9-11: 3+ (97.3%)
Passenger END 12+: Automatic
Better, but still chancy as the average Joe still has almost a 1 in 10 chance of dying. Put another way, even with all the care one can give using this autodoc, a ship with ten low berths will almost always have someone die every jump. That has to take a toll.</t>
  </si>
  <si>
    <t>The Improved Emergency AutoBerth  (Long Duration)  is a step up from the Basic model and its survival rates reflect that. It houses four passengers of average adult human size while still fitting in a standard 1-ton emergency low berth housing. Larger individuals will reduce the capacity. As all passengers are housed in the same chamber, they share a revival roll though their END modifier may change their results. The enhanced internal power supply will keep the unit operational for 2,592 hours (108 days) after external power fails. It also has AutoDoc capabilities.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(enhanced): +2
Medic 2: +2
INT 9: +1
Low Berth (improved) +1
Mod: +6
Passenger Survival (with 1Dx10 minutes revival times):
Passenger END 0: 3+ (97.3%)
Passenger END 1+: Automatic
That delivers almost flawless recovery. Only the very frailest would require 1D hours to wake and they would automatically survive.</t>
  </si>
  <si>
    <t>The Enhanced Emergency AutoBerth is a cut above the Improved model and gives automatic survival to everyone at the standard revival timeframe while still fitting in a standard 1-ton emergency low berth housing. It houses four passengers of average adult human size. Larger individuals will reduce the capacity. As all passengers are housed in the same chamber, they share a revival roll though their END modifier may change their results. The enhanced internal power supply will keep the unit operational for 2,592 hours (108 days) after external power fails. It also has AutoDoc capabilities.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2: +2
INT 9: +1
Low Berth (improved) +1
Mod: +7
Passenger Survival: Automatic
With these odds, one could jump the revival time to 1D minutes for most patients and accept the -2 to survival for all but the frailest of passengers. That would save a lot of time and is a selling point for these units.
Passenger Survival:
Passenger END 0: 4+ (91.7%)
Passenger END 1-2: 3+ (97.3%)
Passenger END 3+: Automatic</t>
  </si>
  <si>
    <t>The Advanced Emergency AutoBerth is a cut above the Enhanced model and improves passenger survival odds even more, reducing passenger deaths at 1D minutes to only the most frail. It houses four passengers of average adult human size while still fitting in a standard 1-ton emergency low berth housing. Larger individuals will reduce the capacity. As all passengers are housed in the same chamber, they share a revival roll though their END modifier may change their results. The enhanced internal power supply will keep the unit operational for 3,456 hours (144 days) after external power fails. It also has AutoDoc capabilities.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9: +1
Low Berth (improved) +1
Mod: +8
Passenger Survival: Automatic
Passenger Survival at 1D minutes revival time:
Passenger END 0: 3+ (97.3%)
Passenger END 1+: Automatic</t>
  </si>
  <si>
    <t>The Superior Emergency AutoBerth, manufactured on Vincennes, is designed for the most discerning passengers. Automatic survival for everyone, even at 1D minutes. It houses four passengers of average adult human size while still fitting in a standard 1-ton emergency low berth housing. Larger individuals will reduce the capacity. The enhanced internal power supply will keep the unit operational for 3,456 hours (144 days) after external power fails. It also has AutoDoc capabilities. Priced well below the MCr1 price a normal emergency low berth commands, these units are a steal.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12: +2
Low Berth (improved) +1
Mod: +9
Passenger Survival: Automatic
And at 1D6 minutes revival:
Passenger Survival: Automatic</t>
  </si>
  <si>
    <t>The single passenger Advanced AutoBerth (Long Duration) reduces passenger deaths at 1D minutes to only the most frail who would need 1Dx10 minutes revival times and it fits in a standard low berth housing. It also has AutoDoc capabilities. With its extra power packs and vacuum protection, it is suitable for use in life pods. The enhanced internal power supply will keep the unit operational for 3,456 hours (144 days) after external power fails.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9: +1
Low Berth (improved) +1
Mod: +8
Passenger Survival: Automatic
Passenger Survival at 1D minutes revival time:
Passenger END 0: 3+ (97.3%)
Passenger END 1+: Automatic</t>
  </si>
  <si>
    <t>The single passenger Superior AutoBerth (Long Duration), manufactured on Vincennes, is designed for the most discerning passengers. Automatic survival for everyone, even at 1D minutes, and it fits in a standard low berth housing. It also has AutoDoc capabilities. With its extra power packs and vacuum protection, it is suitable for use in life pods. The enhanced internal power supply will keep the unit operational for 3,456 hours (144 days) after external power fails.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3: +3
INT 12: +2
Low Berth (improved) +1
Mod: +9
Passenger Survival: Automatic
And at 1D6 minutes revival:
Passenger Survival: Automatic</t>
  </si>
  <si>
    <t>The single passenger Basic AutoBerth (Long Duration) has low berth capability on par with the one in High Guard 2022 Update and it fits in a standard low berth housing. It also has minimal AutoDoc capabilities.  With its extra power packs and vacuum protection, it is suitable for use in life pods. The enhanced internal power supply will keep the unit operational for 1,728 hours (72 days) after external power fails. It also has minimal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(basic): +0
Medic 1: +1
INT 3: -1
Mod: +0
Passenger Survival (with 1Dx10 minutes revival times):
Passenger END 0: 9+ (27.8%)
Passenger END 1-2: 8+ (41.7%)
Passenger END 3-5: 7+ (58.4%)
Passenger END 6-8: 6+ (72.3%)
Passenger END 9-11: 5+ (83.4%)
Passenger END 12-14: 4+ (91.7%)
Passenger END 15+: 3+ (97.3%)
There is a serious chance of dying even for the healthy using the default revival times. An average Joe has an almost 3 in 10 chance of croaking. I’d recommend taking 1D Hours for revival which grants a +2 to survival rolls.
If you do, these are your amended odds of living to tell the tale.
Passenger Survival (with 1D hours revival times):
Passenger END 0: 7+ (58.4%)
Passenger END 1-2: 6+ (72.3%)
Passenger END 3-5: 5+ (83.4%)
Passenger END 6-8: 4+ (91.7%)
Passenger END 9-11: 3+ (97.3%)
Passenger END 12+: Automatic
Better, but still chancy as the average Joe still has almost a 1 in 10 chance of dying. Put another way, even with all the care one can give using this autodoc, a ship with ten low berths will almost always have someone die every jump. That has to take a toll.</t>
  </si>
  <si>
    <t>The single passenger Improved AutoBerth (Long Duration) is a step up from the Basic model and its survival rates reflect that, and it fits in a standard low berth housing. It also has AutoDoc capabilities. With its extra power packs and vacuum protection, it is suitable for use in life pods. The enhanced internal power supply will keep the unit operational for 2,592 hours (108 days) after external power fails.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(enhanced): +2
Medic 2: +2
INT 9: +1
Low Berth (improved) +1
Mod: +6
Passenger Survival (with 1Dx10 minutes revival times):
Passenger END 0: 3+ (97.3%)
Passenger END 1+: Automatic
That delivers almost flawless recovery. Only the very frailest would require 1D hours to wake and they would automatically survive.</t>
  </si>
  <si>
    <t>The single passenger Enhanced AutoBerth (Long Duration) is a cut above the Improved model and gives automatic survival to everyone at the standard revival timeframe, and it fits in a standard low berth housing. It also has AutoDoc capabilities. With its extra power packs and vacuum protection, it is suitable for use in life pods. The enhanced internal power supply will keep the unit operational for 2,592 hours (108 days) after external power fails. It also has AutoDoc capabilities.
The modifiers that apply to all low berths in Mongoose 2e:
Revival Time:
Check: Easy (4+) 1D Hours INT: +2
Check: Routine (6+) 1Dx10 Minutes INT: +0 (default revival time)
Check: Average (8+) 1D Minutes INT: -2
Passenger Endurance:
Passenger END 0: -3
Passenger END 1-2: -2
Passenger END 3-5: -1
Passenger END 6-8: 0
Passenger END 9-11: +1
Passenger END 12-14: +2
Passenger END 15+: +3
Modifiers for this unit:
Medikit (advanced): +3
Medic 2: +2
INT 9: +1
Low Berth (improved) +1
Mod: +7
Passenger Survival: Automatic
With these odds, one could jump the revival time to 1D minutes for most patients and accept the -2 to survival for all but the frailest of passengers. That would save a lot of time and is a selling point for these units.
Passenger Survival:
Passenger END 0: 4+ (91.7%)
Passenger END 1-2: 3+ (97.3%)
Passenger END 3+: Automatic</t>
  </si>
  <si>
    <t>Transceiver 5,000 km (improved)</t>
  </si>
  <si>
    <t>Transceiver 5,000 km (enhanced)</t>
  </si>
  <si>
    <t>Transceiver 5,000 km (advanced)</t>
  </si>
  <si>
    <t>Transceiver 5,000 km (basic)</t>
  </si>
  <si>
    <t>Transceiver 50,000 km (basic)</t>
  </si>
  <si>
    <t>Transceiver 50,000 km (improved)</t>
  </si>
  <si>
    <t>Transceiver 50,000 km (enhanced)</t>
  </si>
  <si>
    <t>Transceiver 50,000 km (advanced)</t>
  </si>
  <si>
    <t>Transceiver 500,000 km (basic)</t>
  </si>
  <si>
    <t>Transceiver 500,000 km (improved)</t>
  </si>
  <si>
    <t>Transceiver 500,000 km (enhanced)</t>
  </si>
  <si>
    <t>Transceiver 500,000 km (advanced)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</si>
</sst>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0\)"/>
    <numFmt numFmtId="166" formatCode="0_);[Red]\(0\)"/>
  </numFmts>
  <fonts count="11" x14ac:knownFonts="1">
    <font>
      <sz val="9"/>
      <color theme="1"/>
      <name val="Calibri"/>
      <family val="2"/>
      <scheme val="minor"/>
    </font>
    <font>
      <b/>
      <sz val="9"/>
      <color theme="1"/>
      <name val="Calibri"/>
      <family val="2"/>
      <scheme val="minor"/>
    </font>
    <font>
      <sz val="8"/>
      <name val="Calibri"/>
      <family val="2"/>
      <scheme val="minor"/>
    </font>
    <font>
      <b/>
      <i/>
      <sz val="9"/>
      <color theme="1"/>
      <name val="Calibri"/>
      <family val="2"/>
      <scheme val="minor"/>
    </font>
    <font>
      <sz val="9"/>
      <color theme="0" tint="-0.499984740745262"/>
      <name val="Calibri"/>
      <family val="2"/>
      <scheme val="minor"/>
    </font>
    <font>
      <sz val="10"/>
      <color theme="1"/>
      <name val="Times New Roman"/>
      <family val="1"/>
    </font>
    <font>
      <b/>
      <sz val="10"/>
      <color theme="1"/>
      <name val="Times New Roman"/>
      <family val="1"/>
    </font>
    <font>
      <sz val="9"/>
      <color theme="1"/>
      <name val="Calibri"/>
      <family val="2"/>
      <scheme val="minor"/>
    </font>
    <font>
      <sz val="10"/>
      <color rgb="FFFF0000"/>
      <name val="Times New Roman"/>
      <family val="1"/>
    </font>
    <font>
      <b/>
      <sz val="9"/>
      <color theme="0"/>
      <name val="Calibri"/>
      <family val="2"/>
      <scheme val="minor"/>
    </font>
    <font>
      <sz val="9"/>
      <color rgb="FFFF000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4.9989318521683403E-2"/>
        <bgColor indexed="64"/>
      </patternFill>
    </fill>
  </fills>
  <borders count="9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bottom style="thin">
        <color theme="1" tint="0.499984740745262"/>
      </bottom>
      <diagonal/>
    </border>
    <border>
      <left/>
      <right/>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indexed="64"/>
      </bottom>
      <diagonal/>
    </border>
    <border>
      <left/>
      <right/>
      <top style="thin">
        <color theme="1" tint="0.499984740745262"/>
      </top>
      <bottom style="medium">
        <color auto="1"/>
      </bottom>
      <diagonal/>
    </border>
    <border>
      <left/>
      <right/>
      <top style="medium">
        <color indexed="64"/>
      </top>
      <bottom style="medium">
        <color indexed="64"/>
      </bottom>
      <diagonal/>
    </border>
    <border>
      <left style="thin">
        <color theme="1" tint="0.499984740745262"/>
      </left>
      <right/>
      <top/>
      <bottom style="thin">
        <color theme="1" tint="0.499984740745262"/>
      </bottom>
      <diagonal/>
    </border>
    <border>
      <left/>
      <right style="thin">
        <color theme="1" tint="0.499984740745262"/>
      </right>
      <top style="medium">
        <color indexed="64"/>
      </top>
      <bottom style="medium">
        <color indexed="64"/>
      </bottom>
      <diagonal/>
    </border>
    <border>
      <left style="thin">
        <color theme="1" tint="0.499984740745262"/>
      </left>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bottom style="thin">
        <color theme="1" tint="0.499984740745262"/>
      </bottom>
      <diagonal/>
    </border>
    <border>
      <left style="medium">
        <color indexed="64"/>
      </left>
      <right/>
      <top/>
      <bottom/>
      <diagonal/>
    </border>
    <border>
      <left style="medium">
        <color indexed="64"/>
      </left>
      <right/>
      <top/>
      <bottom style="medium">
        <color indexed="64"/>
      </bottom>
      <diagonal/>
    </border>
    <border>
      <left style="thin">
        <color theme="1" tint="0.499984740745262"/>
      </left>
      <right/>
      <top style="thin">
        <color theme="1" tint="0.499984740745262"/>
      </top>
      <bottom style="thin">
        <color auto="1"/>
      </bottom>
      <diagonal/>
    </border>
    <border>
      <left/>
      <right/>
      <top style="thin">
        <color theme="1" tint="0.499984740745262"/>
      </top>
      <bottom style="thin">
        <color auto="1"/>
      </bottom>
      <diagonal/>
    </border>
    <border>
      <left style="thin">
        <color indexed="64"/>
      </left>
      <right style="thin">
        <color theme="1" tint="0.499984740745262"/>
      </right>
      <top style="thin">
        <color indexed="64"/>
      </top>
      <bottom style="medium">
        <color indexed="64"/>
      </bottom>
      <diagonal/>
    </border>
    <border>
      <left/>
      <right style="thin">
        <color theme="1" tint="0.499984740745262"/>
      </right>
      <top style="thin">
        <color theme="1" tint="0.499984740745262"/>
      </top>
      <bottom/>
      <diagonal/>
    </border>
    <border>
      <left style="thin">
        <color theme="1" tint="0.499984740745262"/>
      </left>
      <right style="medium">
        <color indexed="64"/>
      </right>
      <top/>
      <bottom style="thin">
        <color theme="1" tint="0.499984740745262"/>
      </bottom>
      <diagonal/>
    </border>
    <border>
      <left style="medium">
        <color theme="0" tint="-0.24994659260841701"/>
      </left>
      <right style="medium">
        <color theme="0" tint="-0.24994659260841701"/>
      </right>
      <top style="medium">
        <color indexed="64"/>
      </top>
      <bottom style="medium">
        <color indexed="64"/>
      </bottom>
      <diagonal/>
    </border>
    <border>
      <left style="medium">
        <color theme="0" tint="-0.24994659260841701"/>
      </left>
      <right/>
      <top style="medium">
        <color indexed="64"/>
      </top>
      <bottom style="medium">
        <color indexed="64"/>
      </bottom>
      <diagonal/>
    </border>
    <border>
      <left/>
      <right style="medium">
        <color theme="0" tint="-0.24994659260841701"/>
      </right>
      <top style="medium">
        <color indexed="64"/>
      </top>
      <bottom style="medium">
        <color indexed="64"/>
      </bottom>
      <diagonal/>
    </border>
    <border>
      <left style="medium">
        <color indexed="64"/>
      </left>
      <right style="medium">
        <color theme="0" tint="-0.24994659260841701"/>
      </right>
      <top style="medium">
        <color indexed="64"/>
      </top>
      <bottom style="medium">
        <color indexed="64"/>
      </bottom>
      <diagonal/>
    </border>
    <border>
      <left style="medium">
        <color theme="0" tint="-0.24994659260841701"/>
      </left>
      <right style="medium">
        <color indexed="64"/>
      </right>
      <top style="medium">
        <color indexed="64"/>
      </top>
      <bottom style="medium">
        <color indexed="64"/>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top style="medium">
        <color theme="1" tint="0.499984740745262"/>
      </top>
      <bottom/>
      <diagonal/>
    </border>
    <border>
      <left style="thin">
        <color indexed="64"/>
      </left>
      <right style="thin">
        <color indexed="64"/>
      </right>
      <top style="medium">
        <color theme="1" tint="0.499984740745262"/>
      </top>
      <bottom/>
      <diagonal/>
    </border>
    <border>
      <left style="thin">
        <color theme="1" tint="0.499984740745262"/>
      </left>
      <right style="thin">
        <color theme="1" tint="0.499984740745262"/>
      </right>
      <top style="medium">
        <color theme="1" tint="0.499984740745262"/>
      </top>
      <bottom style="medium">
        <color indexed="64"/>
      </bottom>
      <diagonal/>
    </border>
    <border>
      <left style="thin">
        <color theme="1" tint="0.499984740745262"/>
      </left>
      <right style="thin">
        <color indexed="64"/>
      </right>
      <top style="medium">
        <color indexed="64"/>
      </top>
      <bottom style="medium">
        <color indexed="64"/>
      </bottom>
      <diagonal/>
    </border>
    <border>
      <left style="thin">
        <color theme="1" tint="0.499984740745262"/>
      </left>
      <right style="thin">
        <color theme="1" tint="0.499984740745262"/>
      </right>
      <top/>
      <bottom/>
      <diagonal/>
    </border>
    <border>
      <left style="thin">
        <color theme="1" tint="0.499984740745262"/>
      </left>
      <right style="medium">
        <color indexed="64"/>
      </right>
      <top style="thin">
        <color theme="1" tint="0.499984740745262"/>
      </top>
      <bottom/>
      <diagonal/>
    </border>
    <border>
      <left style="thin">
        <color theme="1" tint="0.499984740745262"/>
      </left>
      <right/>
      <top style="medium">
        <color theme="1" tint="0.499984740745262"/>
      </top>
      <bottom style="thin">
        <color theme="1" tint="0.499984740745262"/>
      </bottom>
      <diagonal/>
    </border>
    <border>
      <left style="medium">
        <color indexed="64"/>
      </left>
      <right/>
      <top style="medium">
        <color theme="1" tint="0.499984740745262"/>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indexed="64"/>
      </right>
      <top style="medium">
        <color theme="1" tint="0.499984740745262"/>
      </top>
      <bottom style="thin">
        <color theme="1" tint="0.499984740745262"/>
      </bottom>
      <diagonal/>
    </border>
    <border>
      <left/>
      <right style="thin">
        <color theme="1" tint="0.499984740745262"/>
      </right>
      <top style="medium">
        <color indexed="64"/>
      </top>
      <bottom style="thin">
        <color theme="0" tint="-0.24994659260841701"/>
      </bottom>
      <diagonal/>
    </border>
    <border>
      <left/>
      <right style="thin">
        <color theme="1" tint="0.499984740745262"/>
      </right>
      <top style="thin">
        <color theme="0" tint="-0.24994659260841701"/>
      </top>
      <bottom style="thin">
        <color theme="0" tint="-0.24994659260841701"/>
      </bottom>
      <diagonal/>
    </border>
    <border>
      <left/>
      <right style="thin">
        <color theme="1" tint="0.499984740745262"/>
      </right>
      <top style="medium">
        <color indexed="64"/>
      </top>
      <bottom/>
      <diagonal/>
    </border>
    <border>
      <left/>
      <right style="thin">
        <color theme="1" tint="0.499984740745262"/>
      </right>
      <top/>
      <bottom style="thin">
        <color theme="0" tint="-0.24994659260841701"/>
      </bottom>
      <diagonal/>
    </border>
    <border>
      <left/>
      <right style="thin">
        <color theme="1" tint="0.499984740745262"/>
      </right>
      <top style="thin">
        <color theme="0" tint="-0.24994659260841701"/>
      </top>
      <bottom style="medium">
        <color theme="0" tint="-0.34998626667073579"/>
      </bottom>
      <diagonal/>
    </border>
    <border>
      <left/>
      <right style="thin">
        <color indexed="64"/>
      </right>
      <top style="medium">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thin">
        <color theme="1" tint="0.499984740745262"/>
      </left>
      <right/>
      <top/>
      <bottom style="thin">
        <color theme="0" tint="-0.24994659260841701"/>
      </bottom>
      <diagonal/>
    </border>
    <border>
      <left/>
      <right/>
      <top/>
      <bottom style="thin">
        <color theme="0" tint="-0.24994659260841701"/>
      </bottom>
      <diagonal/>
    </border>
    <border>
      <left style="thin">
        <color theme="1" tint="0.499984740745262"/>
      </left>
      <right/>
      <top style="thin">
        <color theme="0" tint="-0.24994659260841701"/>
      </top>
      <bottom style="thin">
        <color theme="0" tint="-0.24994659260841701"/>
      </bottom>
      <diagonal/>
    </border>
    <border>
      <left style="thin">
        <color theme="1" tint="0.499984740745262"/>
      </left>
      <right/>
      <top style="thin">
        <color theme="0" tint="-0.24994659260841701"/>
      </top>
      <bottom style="medium">
        <color indexed="64"/>
      </bottom>
      <diagonal/>
    </border>
    <border>
      <left/>
      <right style="thin">
        <color theme="1" tint="0.499984740745262"/>
      </right>
      <top style="thin">
        <color theme="0" tint="-0.24994659260841701"/>
      </top>
      <bottom style="medium">
        <color indexed="64"/>
      </bottom>
      <diagonal/>
    </border>
    <border>
      <left/>
      <right/>
      <top style="thin">
        <color theme="0" tint="-0.24994659260841701"/>
      </top>
      <bottom style="medium">
        <color indexed="64"/>
      </bottom>
      <diagonal/>
    </border>
    <border>
      <left style="thin">
        <color theme="1" tint="0.499984740745262"/>
      </left>
      <right/>
      <top style="thin">
        <color theme="0" tint="-0.24994659260841701"/>
      </top>
      <bottom/>
      <diagonal/>
    </border>
    <border>
      <left/>
      <right/>
      <top style="thin">
        <color theme="0" tint="-0.24994659260841701"/>
      </top>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thin">
        <color auto="1"/>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indexed="64"/>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medium">
        <color theme="0" tint="-0.24994659260841701"/>
      </right>
      <top/>
      <bottom style="medium">
        <color indexed="64"/>
      </bottom>
      <diagonal/>
    </border>
    <border>
      <left style="medium">
        <color auto="1"/>
      </left>
      <right style="medium">
        <color auto="1"/>
      </right>
      <top style="medium">
        <color auto="1"/>
      </top>
      <bottom style="medium">
        <color auto="1"/>
      </bottom>
      <diagonal/>
    </border>
    <border>
      <left style="thin">
        <color theme="1"/>
      </left>
      <right style="thin">
        <color theme="1"/>
      </right>
      <top style="thin">
        <color theme="1"/>
      </top>
      <bottom style="thin">
        <color theme="1"/>
      </bottom>
      <diagonal/>
    </border>
  </borders>
  <cellStyleXfs count="2">
    <xf numFmtId="0" fontId="0" fillId="0" borderId="0"/>
    <xf numFmtId="9" fontId="7" fillId="0" borderId="0" applyFont="0" applyFill="0" applyBorder="0" applyAlignment="0" applyProtection="0"/>
  </cellStyleXfs>
  <cellXfs count="252">
    <xf numFmtId="0" fontId="0" fillId="0" borderId="0" xfId="0"/>
    <xf numFmtId="0" fontId="0" fillId="0" borderId="0" xfId="0" applyAlignment="1">
      <alignment horizontal="center"/>
    </xf>
    <xf numFmtId="9" fontId="0" fillId="0" borderId="0" xfId="0" applyNumberFormat="1"/>
    <xf numFmtId="10" fontId="0" fillId="0" borderId="0" xfId="0" applyNumberFormat="1"/>
    <xf numFmtId="0" fontId="0" fillId="0" borderId="2" xfId="0" applyBorder="1" applyAlignment="1">
      <alignment horizontal="center"/>
    </xf>
    <xf numFmtId="0" fontId="0" fillId="3" borderId="1" xfId="0" applyFill="1" applyBorder="1" applyAlignment="1">
      <alignment horizontal="left"/>
    </xf>
    <xf numFmtId="0" fontId="0" fillId="3" borderId="1" xfId="0" applyFill="1" applyBorder="1" applyAlignment="1">
      <alignment horizontal="center"/>
    </xf>
    <xf numFmtId="0" fontId="1" fillId="0" borderId="0" xfId="0" applyFont="1"/>
    <xf numFmtId="49" fontId="0" fillId="0" borderId="0" xfId="0" applyNumberFormat="1"/>
    <xf numFmtId="49" fontId="0" fillId="0" borderId="0" xfId="0" applyNumberFormat="1" applyAlignment="1">
      <alignment horizontal="left"/>
    </xf>
    <xf numFmtId="49" fontId="0" fillId="0" borderId="0" xfId="0" quotePrefix="1" applyNumberFormat="1" applyAlignment="1">
      <alignment horizontal="left"/>
    </xf>
    <xf numFmtId="0" fontId="0" fillId="0" borderId="0" xfId="0" applyAlignment="1">
      <alignment horizontal="right"/>
    </xf>
    <xf numFmtId="0" fontId="0" fillId="3" borderId="4" xfId="0" applyFill="1" applyBorder="1" applyAlignment="1">
      <alignment horizontal="left"/>
    </xf>
    <xf numFmtId="0" fontId="0" fillId="0" borderId="2" xfId="0" applyBorder="1"/>
    <xf numFmtId="0" fontId="0" fillId="3" borderId="3" xfId="0" applyFill="1" applyBorder="1" applyAlignment="1">
      <alignment horizontal="left"/>
    </xf>
    <xf numFmtId="164" fontId="0" fillId="3" borderId="1" xfId="0" applyNumberFormat="1" applyFill="1" applyBorder="1" applyAlignment="1">
      <alignment horizontal="center"/>
    </xf>
    <xf numFmtId="164" fontId="0" fillId="2" borderId="4" xfId="0" applyNumberFormat="1" applyFill="1" applyBorder="1" applyAlignment="1">
      <alignment horizontal="center"/>
    </xf>
    <xf numFmtId="164" fontId="0" fillId="0" borderId="0" xfId="0" applyNumberFormat="1"/>
    <xf numFmtId="0" fontId="0" fillId="0" borderId="5" xfId="0" applyBorder="1" applyAlignment="1">
      <alignment horizontal="center"/>
    </xf>
    <xf numFmtId="164" fontId="0" fillId="2" borderId="6" xfId="0" applyNumberFormat="1" applyFill="1" applyBorder="1" applyAlignment="1">
      <alignment horizontal="center"/>
    </xf>
    <xf numFmtId="0" fontId="0" fillId="3" borderId="7" xfId="0" applyFill="1" applyBorder="1" applyAlignment="1">
      <alignment horizontal="center"/>
    </xf>
    <xf numFmtId="164" fontId="0" fillId="3" borderId="8" xfId="0" applyNumberFormat="1" applyFill="1" applyBorder="1" applyAlignment="1">
      <alignment horizontal="center"/>
    </xf>
    <xf numFmtId="164" fontId="0" fillId="3" borderId="9" xfId="0" applyNumberFormat="1" applyFill="1" applyBorder="1" applyAlignment="1">
      <alignment horizontal="center"/>
    </xf>
    <xf numFmtId="0" fontId="0" fillId="2" borderId="1" xfId="0" applyFill="1" applyBorder="1"/>
    <xf numFmtId="0" fontId="0" fillId="0" borderId="5" xfId="0" applyBorder="1"/>
    <xf numFmtId="0" fontId="0" fillId="3" borderId="7" xfId="0" applyFill="1" applyBorder="1" applyAlignment="1">
      <alignment horizontal="left"/>
    </xf>
    <xf numFmtId="0" fontId="1" fillId="0" borderId="5" xfId="0" applyFont="1" applyBorder="1" applyAlignment="1">
      <alignment horizontal="center"/>
    </xf>
    <xf numFmtId="0" fontId="0" fillId="0" borderId="0" xfId="0" quotePrefix="1"/>
    <xf numFmtId="0" fontId="0" fillId="2" borderId="13" xfId="0" applyFill="1" applyBorder="1" applyAlignment="1">
      <alignment horizontal="left"/>
    </xf>
    <xf numFmtId="164" fontId="0" fillId="2" borderId="10" xfId="0" applyNumberFormat="1" applyFill="1" applyBorder="1" applyAlignment="1">
      <alignment horizontal="left"/>
    </xf>
    <xf numFmtId="0" fontId="0" fillId="2" borderId="10" xfId="0" applyFill="1" applyBorder="1" applyAlignment="1">
      <alignment horizontal="left"/>
    </xf>
    <xf numFmtId="164" fontId="0" fillId="0" borderId="0" xfId="0" applyNumberFormat="1" applyAlignment="1">
      <alignment horizontal="center"/>
    </xf>
    <xf numFmtId="0" fontId="1" fillId="3" borderId="1" xfId="0" applyFont="1" applyFill="1" applyBorder="1" applyAlignment="1">
      <alignment horizontal="left"/>
    </xf>
    <xf numFmtId="164" fontId="1" fillId="3" borderId="1" xfId="0" applyNumberFormat="1" applyFont="1" applyFill="1" applyBorder="1" applyAlignment="1">
      <alignment horizontal="center"/>
    </xf>
    <xf numFmtId="165" fontId="1" fillId="3" borderId="7" xfId="0" applyNumberFormat="1" applyFont="1" applyFill="1" applyBorder="1" applyAlignment="1">
      <alignment horizontal="center"/>
    </xf>
    <xf numFmtId="0" fontId="0" fillId="2" borderId="16" xfId="0" applyFill="1" applyBorder="1" applyAlignment="1">
      <alignment horizontal="left"/>
    </xf>
    <xf numFmtId="0" fontId="0" fillId="3" borderId="19" xfId="0" applyFill="1" applyBorder="1" applyAlignment="1">
      <alignment horizontal="center"/>
    </xf>
    <xf numFmtId="0" fontId="0" fillId="2" borderId="19" xfId="0" applyFill="1" applyBorder="1" applyAlignment="1">
      <alignment horizontal="left"/>
    </xf>
    <xf numFmtId="0" fontId="4" fillId="4" borderId="0" xfId="0" applyFont="1" applyFill="1"/>
    <xf numFmtId="0" fontId="4" fillId="4" borderId="5" xfId="0" applyFont="1" applyFill="1" applyBorder="1"/>
    <xf numFmtId="0" fontId="0" fillId="0" borderId="21" xfId="0" applyBorder="1"/>
    <xf numFmtId="0" fontId="0" fillId="0" borderId="22" xfId="0" applyBorder="1"/>
    <xf numFmtId="0" fontId="0" fillId="0" borderId="23" xfId="0" applyBorder="1"/>
    <xf numFmtId="0" fontId="0" fillId="0" borderId="22" xfId="0" applyBorder="1" applyAlignment="1">
      <alignment horizontal="center"/>
    </xf>
    <xf numFmtId="0" fontId="0" fillId="0" borderId="21" xfId="0" applyBorder="1" applyAlignment="1">
      <alignment horizontal="center"/>
    </xf>
    <xf numFmtId="0" fontId="0" fillId="2" borderId="24" xfId="0" applyFill="1" applyBorder="1" applyAlignment="1">
      <alignment horizontal="center"/>
    </xf>
    <xf numFmtId="0" fontId="0" fillId="0" borderId="23" xfId="0" applyBorder="1" applyAlignment="1">
      <alignment horizontal="center"/>
    </xf>
    <xf numFmtId="164" fontId="0" fillId="0" borderId="5" xfId="0" applyNumberFormat="1" applyBorder="1"/>
    <xf numFmtId="0" fontId="0" fillId="2" borderId="25" xfId="0" applyFill="1" applyBorder="1" applyAlignment="1">
      <alignment horizontal="left"/>
    </xf>
    <xf numFmtId="0" fontId="0" fillId="3" borderId="29" xfId="0" applyFill="1" applyBorder="1" applyAlignment="1">
      <alignment horizontal="left"/>
    </xf>
    <xf numFmtId="0" fontId="0" fillId="2" borderId="30" xfId="0" applyFill="1" applyBorder="1" applyAlignment="1">
      <alignment horizontal="center"/>
    </xf>
    <xf numFmtId="0" fontId="0" fillId="2" borderId="4" xfId="0" applyFill="1" applyBorder="1"/>
    <xf numFmtId="165" fontId="1" fillId="3" borderId="1" xfId="0" applyNumberFormat="1" applyFont="1" applyFill="1" applyBorder="1" applyAlignment="1">
      <alignment horizontal="right"/>
    </xf>
    <xf numFmtId="0" fontId="0" fillId="3" borderId="4" xfId="0" applyFill="1" applyBorder="1"/>
    <xf numFmtId="0" fontId="4" fillId="4" borderId="31" xfId="0" applyFont="1" applyFill="1" applyBorder="1" applyAlignment="1">
      <alignment horizontal="center"/>
    </xf>
    <xf numFmtId="0" fontId="4" fillId="4" borderId="32" xfId="0" applyFont="1" applyFill="1" applyBorder="1" applyAlignment="1">
      <alignment horizontal="center"/>
    </xf>
    <xf numFmtId="0" fontId="0" fillId="3" borderId="36" xfId="0" applyFill="1" applyBorder="1" applyAlignment="1">
      <alignment horizontal="right"/>
    </xf>
    <xf numFmtId="0" fontId="0" fillId="3" borderId="35" xfId="0" applyFill="1" applyBorder="1" applyAlignment="1">
      <alignment horizontal="center"/>
    </xf>
    <xf numFmtId="0" fontId="0" fillId="2" borderId="1" xfId="0" applyFill="1" applyBorder="1" applyAlignment="1">
      <alignment horizontal="center"/>
    </xf>
    <xf numFmtId="0" fontId="0" fillId="3" borderId="29" xfId="0" applyFill="1" applyBorder="1"/>
    <xf numFmtId="0" fontId="0" fillId="3" borderId="1" xfId="0" applyFill="1" applyBorder="1"/>
    <xf numFmtId="0" fontId="0" fillId="3" borderId="4" xfId="0" applyFill="1" applyBorder="1" applyAlignment="1">
      <alignment horizontal="center"/>
    </xf>
    <xf numFmtId="164" fontId="0" fillId="3" borderId="37" xfId="0" applyNumberFormat="1" applyFill="1" applyBorder="1" applyAlignment="1">
      <alignment horizontal="center"/>
    </xf>
    <xf numFmtId="0" fontId="1" fillId="5" borderId="15" xfId="0" applyFont="1" applyFill="1" applyBorder="1" applyAlignment="1">
      <alignment horizontal="center"/>
    </xf>
    <xf numFmtId="0" fontId="1" fillId="5" borderId="38" xfId="0" applyFont="1" applyFill="1" applyBorder="1"/>
    <xf numFmtId="0" fontId="1" fillId="5" borderId="38" xfId="0" applyFont="1" applyFill="1" applyBorder="1" applyAlignment="1">
      <alignment horizontal="center"/>
    </xf>
    <xf numFmtId="0" fontId="1" fillId="5" borderId="40" xfId="0" applyFont="1" applyFill="1" applyBorder="1"/>
    <xf numFmtId="0" fontId="1" fillId="5" borderId="41" xfId="0" applyFont="1" applyFill="1" applyBorder="1" applyAlignment="1">
      <alignment horizontal="center"/>
    </xf>
    <xf numFmtId="0" fontId="0" fillId="5" borderId="42" xfId="0" applyFill="1" applyBorder="1"/>
    <xf numFmtId="0" fontId="0" fillId="5" borderId="40" xfId="0" applyFill="1" applyBorder="1"/>
    <xf numFmtId="0" fontId="1" fillId="5" borderId="41" xfId="0" applyFont="1" applyFill="1" applyBorder="1"/>
    <xf numFmtId="0" fontId="1" fillId="5" borderId="42" xfId="0" applyFont="1" applyFill="1" applyBorder="1" applyAlignment="1">
      <alignment horizontal="center"/>
    </xf>
    <xf numFmtId="0" fontId="1" fillId="5" borderId="39" xfId="0" applyFont="1" applyFill="1" applyBorder="1" applyAlignment="1">
      <alignment horizontal="center"/>
    </xf>
    <xf numFmtId="0" fontId="4" fillId="4" borderId="45" xfId="0" applyFont="1" applyFill="1" applyBorder="1"/>
    <xf numFmtId="0" fontId="0" fillId="0" borderId="45" xfId="0" applyBorder="1"/>
    <xf numFmtId="0" fontId="0" fillId="0" borderId="46" xfId="0" applyBorder="1" applyAlignment="1">
      <alignment horizontal="center"/>
    </xf>
    <xf numFmtId="0" fontId="0" fillId="3" borderId="43" xfId="0" applyFill="1" applyBorder="1" applyAlignment="1">
      <alignment horizontal="left"/>
    </xf>
    <xf numFmtId="0" fontId="1" fillId="5" borderId="20" xfId="0" applyFont="1" applyFill="1" applyBorder="1" applyAlignment="1">
      <alignment horizontal="center"/>
    </xf>
    <xf numFmtId="0" fontId="1" fillId="5" borderId="48" xfId="0" applyFont="1" applyFill="1" applyBorder="1"/>
    <xf numFmtId="0" fontId="1" fillId="5" borderId="38" xfId="0" applyFont="1" applyFill="1" applyBorder="1" applyAlignment="1">
      <alignment horizontal="right"/>
    </xf>
    <xf numFmtId="0" fontId="0" fillId="2" borderId="27" xfId="0" applyFill="1" applyBorder="1" applyAlignment="1">
      <alignment horizontal="left"/>
    </xf>
    <xf numFmtId="164" fontId="0" fillId="2" borderId="49" xfId="0" applyNumberFormat="1" applyFill="1" applyBorder="1" applyAlignment="1">
      <alignment horizontal="center"/>
    </xf>
    <xf numFmtId="0" fontId="0" fillId="3" borderId="29" xfId="0" applyFill="1" applyBorder="1" applyAlignment="1">
      <alignment horizontal="center"/>
    </xf>
    <xf numFmtId="164" fontId="0" fillId="3" borderId="50" xfId="0" applyNumberFormat="1" applyFill="1" applyBorder="1" applyAlignment="1">
      <alignment horizontal="center"/>
    </xf>
    <xf numFmtId="0" fontId="0" fillId="2" borderId="51" xfId="0" applyFill="1" applyBorder="1" applyAlignment="1">
      <alignment horizontal="left"/>
    </xf>
    <xf numFmtId="0" fontId="4" fillId="4" borderId="52" xfId="0" applyFont="1" applyFill="1" applyBorder="1" applyAlignment="1">
      <alignment horizontal="center"/>
    </xf>
    <xf numFmtId="164" fontId="0" fillId="2" borderId="53" xfId="0" applyNumberFormat="1" applyFill="1" applyBorder="1" applyAlignment="1">
      <alignment horizontal="center"/>
    </xf>
    <xf numFmtId="0" fontId="0" fillId="3" borderId="53" xfId="0" applyFill="1" applyBorder="1" applyAlignment="1">
      <alignment horizontal="center"/>
    </xf>
    <xf numFmtId="164" fontId="0" fillId="3" borderId="54" xfId="0" applyNumberFormat="1" applyFill="1" applyBorder="1" applyAlignment="1">
      <alignment horizontal="center"/>
    </xf>
    <xf numFmtId="0" fontId="0" fillId="3" borderId="53" xfId="0" applyFill="1" applyBorder="1"/>
    <xf numFmtId="0" fontId="0" fillId="5" borderId="5" xfId="0" applyFill="1" applyBorder="1"/>
    <xf numFmtId="0" fontId="0" fillId="5" borderId="55" xfId="0" applyFill="1" applyBorder="1"/>
    <xf numFmtId="0" fontId="0" fillId="5" borderId="57" xfId="0" applyFill="1" applyBorder="1"/>
    <xf numFmtId="0" fontId="0" fillId="5" borderId="56" xfId="0" applyFill="1" applyBorder="1"/>
    <xf numFmtId="0" fontId="0" fillId="5" borderId="58" xfId="0" applyFill="1" applyBorder="1"/>
    <xf numFmtId="0" fontId="0" fillId="5" borderId="59" xfId="0" applyFill="1" applyBorder="1"/>
    <xf numFmtId="0" fontId="0" fillId="3" borderId="37" xfId="0" applyFill="1" applyBorder="1" applyAlignment="1">
      <alignment horizontal="center"/>
    </xf>
    <xf numFmtId="0" fontId="0" fillId="3" borderId="8" xfId="0" applyFill="1" applyBorder="1" applyAlignment="1">
      <alignment horizontal="center"/>
    </xf>
    <xf numFmtId="0" fontId="0" fillId="3" borderId="50" xfId="0" applyFill="1" applyBorder="1" applyAlignment="1">
      <alignment horizontal="center"/>
    </xf>
    <xf numFmtId="0" fontId="0" fillId="3" borderId="54" xfId="0" applyFill="1" applyBorder="1" applyAlignment="1">
      <alignment horizontal="center"/>
    </xf>
    <xf numFmtId="0" fontId="0" fillId="3" borderId="9" xfId="0" applyFill="1" applyBorder="1" applyAlignment="1">
      <alignment horizontal="center"/>
    </xf>
    <xf numFmtId="0" fontId="0" fillId="3" borderId="37" xfId="0" applyFill="1" applyBorder="1"/>
    <xf numFmtId="0" fontId="0" fillId="3" borderId="54" xfId="0" applyFill="1" applyBorder="1"/>
    <xf numFmtId="0" fontId="0" fillId="5" borderId="56" xfId="0" applyFill="1" applyBorder="1" applyAlignment="1">
      <alignment horizontal="center"/>
    </xf>
    <xf numFmtId="164" fontId="0" fillId="0" borderId="5" xfId="0" applyNumberFormat="1" applyBorder="1" applyAlignment="1">
      <alignment horizontal="center"/>
    </xf>
    <xf numFmtId="166" fontId="0" fillId="0" borderId="21" xfId="0" applyNumberFormat="1" applyBorder="1" applyAlignment="1">
      <alignment horizontal="center"/>
    </xf>
    <xf numFmtId="0" fontId="0" fillId="2" borderId="29" xfId="0" applyFill="1" applyBorder="1" applyAlignment="1">
      <alignment horizontal="center"/>
    </xf>
    <xf numFmtId="0" fontId="0" fillId="2" borderId="43" xfId="0" applyFill="1" applyBorder="1" applyAlignment="1">
      <alignment horizontal="center"/>
    </xf>
    <xf numFmtId="0" fontId="0" fillId="2" borderId="4" xfId="0" applyFill="1" applyBorder="1" applyAlignment="1">
      <alignment horizontal="center"/>
    </xf>
    <xf numFmtId="0" fontId="0" fillId="0" borderId="73" xfId="0" applyBorder="1" applyAlignment="1">
      <alignment horizontal="center"/>
    </xf>
    <xf numFmtId="0" fontId="0" fillId="0" borderId="0" xfId="0" applyAlignment="1">
      <alignment horizontal="left"/>
    </xf>
    <xf numFmtId="0" fontId="8" fillId="0" borderId="0" xfId="0" applyFont="1"/>
    <xf numFmtId="9" fontId="0" fillId="0" borderId="0" xfId="1" applyFont="1" applyAlignment="1">
      <alignment horizontal="left"/>
    </xf>
    <xf numFmtId="0" fontId="5" fillId="0" borderId="0" xfId="0" applyFont="1" applyAlignment="1">
      <alignment horizontal="left" vertical="top" wrapText="1"/>
    </xf>
    <xf numFmtId="0" fontId="5" fillId="0" borderId="0" xfId="0" applyFont="1"/>
    <xf numFmtId="0" fontId="0" fillId="3" borderId="74" xfId="0" applyFill="1" applyBorder="1"/>
    <xf numFmtId="0" fontId="6" fillId="0" borderId="75" xfId="0" applyFont="1" applyBorder="1"/>
    <xf numFmtId="0" fontId="6" fillId="0" borderId="75" xfId="0" applyFont="1" applyBorder="1" applyAlignment="1">
      <alignment horizontal="center"/>
    </xf>
    <xf numFmtId="0" fontId="5" fillId="0" borderId="75" xfId="0" applyFont="1" applyBorder="1"/>
    <xf numFmtId="0" fontId="6" fillId="0" borderId="75" xfId="0" applyFont="1" applyBorder="1" applyAlignment="1">
      <alignment vertical="top"/>
    </xf>
    <xf numFmtId="0" fontId="4" fillId="4" borderId="0" xfId="0" applyFont="1" applyFill="1" applyAlignment="1">
      <alignment horizontal="center"/>
    </xf>
    <xf numFmtId="0" fontId="9" fillId="0" borderId="79" xfId="0" applyFont="1" applyBorder="1"/>
    <xf numFmtId="0" fontId="9" fillId="0" borderId="80" xfId="0" applyFont="1" applyBorder="1"/>
    <xf numFmtId="0" fontId="9" fillId="0" borderId="81" xfId="0" applyFont="1" applyBorder="1"/>
    <xf numFmtId="0" fontId="0" fillId="0" borderId="82" xfId="0" applyBorder="1"/>
    <xf numFmtId="0" fontId="0" fillId="0" borderId="83" xfId="0" applyBorder="1"/>
    <xf numFmtId="0" fontId="0" fillId="0" borderId="84" xfId="0" applyBorder="1"/>
    <xf numFmtId="0" fontId="1" fillId="5" borderId="40" xfId="0" applyFont="1" applyFill="1" applyBorder="1" applyAlignment="1">
      <alignment horizontal="left"/>
    </xf>
    <xf numFmtId="0" fontId="0" fillId="0" borderId="0" xfId="0" quotePrefix="1" applyAlignment="1">
      <alignment horizontal="left"/>
    </xf>
    <xf numFmtId="0" fontId="1" fillId="0" borderId="5" xfId="0" applyFont="1" applyBorder="1" applyAlignment="1">
      <alignment horizontal="right"/>
    </xf>
    <xf numFmtId="0" fontId="0" fillId="0" borderId="0" xfId="0" applyAlignment="1">
      <alignment wrapText="1"/>
    </xf>
    <xf numFmtId="2" fontId="0" fillId="0" borderId="0" xfId="0" applyNumberFormat="1" applyAlignment="1">
      <alignment vertical="center"/>
    </xf>
    <xf numFmtId="2" fontId="0" fillId="0" borderId="0" xfId="0" applyNumberFormat="1" applyAlignment="1">
      <alignment horizontal="right" vertical="center"/>
    </xf>
    <xf numFmtId="2" fontId="1" fillId="0" borderId="0" xfId="0" applyNumberFormat="1" applyFont="1" applyAlignment="1">
      <alignment vertical="center"/>
    </xf>
    <xf numFmtId="3" fontId="0" fillId="0" borderId="0" xfId="0" applyNumberFormat="1"/>
    <xf numFmtId="3" fontId="1" fillId="5" borderId="38" xfId="0" applyNumberFormat="1" applyFont="1" applyFill="1" applyBorder="1"/>
    <xf numFmtId="3" fontId="0" fillId="3" borderId="7" xfId="0" applyNumberFormat="1" applyFill="1" applyBorder="1"/>
    <xf numFmtId="3" fontId="0" fillId="3" borderId="1" xfId="0" applyNumberFormat="1" applyFill="1" applyBorder="1"/>
    <xf numFmtId="3" fontId="0" fillId="3" borderId="53" xfId="0" applyNumberFormat="1" applyFill="1" applyBorder="1"/>
    <xf numFmtId="3" fontId="0" fillId="3" borderId="29" xfId="0" applyNumberFormat="1" applyFill="1" applyBorder="1"/>
    <xf numFmtId="3" fontId="0" fillId="3" borderId="47" xfId="0" applyNumberFormat="1" applyFill="1" applyBorder="1"/>
    <xf numFmtId="3" fontId="0" fillId="2" borderId="4" xfId="0" applyNumberFormat="1" applyFill="1" applyBorder="1"/>
    <xf numFmtId="3" fontId="0" fillId="2" borderId="1" xfId="0" applyNumberFormat="1" applyFill="1" applyBorder="1"/>
    <xf numFmtId="0" fontId="0" fillId="2" borderId="18" xfId="0" applyFill="1" applyBorder="1" applyAlignment="1">
      <alignment horizontal="left"/>
    </xf>
    <xf numFmtId="165" fontId="5" fillId="0" borderId="89" xfId="0" applyNumberFormat="1" applyFont="1" applyBorder="1" applyAlignment="1">
      <alignment horizontal="center"/>
    </xf>
    <xf numFmtId="0" fontId="5" fillId="0" borderId="89" xfId="0" applyFont="1" applyBorder="1" applyAlignment="1">
      <alignment horizontal="center"/>
    </xf>
    <xf numFmtId="3" fontId="1" fillId="5" borderId="94" xfId="0" applyNumberFormat="1" applyFont="1" applyFill="1" applyBorder="1"/>
    <xf numFmtId="3" fontId="0" fillId="3" borderId="95" xfId="0" applyNumberFormat="1" applyFill="1" applyBorder="1"/>
    <xf numFmtId="3" fontId="5" fillId="0" borderId="89" xfId="0" applyNumberFormat="1" applyFont="1" applyBorder="1" applyAlignment="1">
      <alignment horizontal="center"/>
    </xf>
    <xf numFmtId="0" fontId="5" fillId="3" borderId="75" xfId="0" applyFont="1" applyFill="1" applyBorder="1" applyAlignment="1">
      <alignment horizontal="center"/>
    </xf>
    <xf numFmtId="3" fontId="5" fillId="0" borderId="75" xfId="0" applyNumberFormat="1" applyFont="1" applyBorder="1" applyAlignment="1">
      <alignment horizontal="center"/>
    </xf>
    <xf numFmtId="3" fontId="0" fillId="3" borderId="75" xfId="0" applyNumberFormat="1" applyFill="1" applyBorder="1" applyAlignment="1">
      <alignment horizontal="right"/>
    </xf>
    <xf numFmtId="9" fontId="5" fillId="2" borderId="89" xfId="0" applyNumberFormat="1" applyFont="1" applyFill="1" applyBorder="1" applyAlignment="1">
      <alignment horizontal="center"/>
    </xf>
    <xf numFmtId="1" fontId="5" fillId="2" borderId="89" xfId="0" applyNumberFormat="1" applyFont="1" applyFill="1" applyBorder="1" applyAlignment="1">
      <alignment horizontal="center"/>
    </xf>
    <xf numFmtId="2" fontId="0" fillId="0" borderId="0" xfId="0" applyNumberFormat="1"/>
    <xf numFmtId="2" fontId="0" fillId="0" borderId="0" xfId="0" applyNumberFormat="1" applyAlignment="1">
      <alignment horizontal="right"/>
    </xf>
    <xf numFmtId="3" fontId="0" fillId="3" borderId="96" xfId="0" applyNumberFormat="1" applyFill="1" applyBorder="1" applyAlignment="1">
      <alignment horizontal="right"/>
    </xf>
    <xf numFmtId="0" fontId="0" fillId="2" borderId="12" xfId="0" applyFill="1" applyBorder="1" applyAlignment="1">
      <alignment horizontal="left"/>
    </xf>
    <xf numFmtId="0" fontId="0" fillId="2" borderId="11" xfId="0" applyFill="1" applyBorder="1" applyAlignment="1">
      <alignment horizontal="left"/>
    </xf>
    <xf numFmtId="0" fontId="6" fillId="0" borderId="89" xfId="0" applyFont="1" applyBorder="1" applyAlignment="1">
      <alignment vertical="center"/>
    </xf>
    <xf numFmtId="0" fontId="6" fillId="0" borderId="21" xfId="0" applyFont="1" applyBorder="1" applyAlignment="1">
      <alignment vertical="center"/>
    </xf>
    <xf numFmtId="0" fontId="6" fillId="0" borderId="23" xfId="0" applyFont="1" applyBorder="1" applyAlignment="1">
      <alignment vertical="center"/>
    </xf>
    <xf numFmtId="0" fontId="5" fillId="0" borderId="76" xfId="0" applyFont="1" applyBorder="1" applyAlignment="1">
      <alignment wrapText="1"/>
    </xf>
    <xf numFmtId="0" fontId="5" fillId="0" borderId="77" xfId="0" applyFont="1" applyBorder="1" applyAlignment="1">
      <alignment wrapText="1"/>
    </xf>
    <xf numFmtId="0" fontId="5" fillId="0" borderId="78" xfId="0" applyFont="1" applyBorder="1" applyAlignment="1">
      <alignment wrapText="1"/>
    </xf>
    <xf numFmtId="0" fontId="5" fillId="0" borderId="76" xfId="0" applyFont="1" applyBorder="1" applyAlignment="1">
      <alignment horizontal="left" wrapText="1"/>
    </xf>
    <xf numFmtId="0" fontId="5" fillId="0" borderId="77" xfId="0" applyFont="1" applyBorder="1" applyAlignment="1">
      <alignment horizontal="left" wrapText="1"/>
    </xf>
    <xf numFmtId="0" fontId="5" fillId="0" borderId="78" xfId="0" applyFont="1" applyBorder="1" applyAlignment="1">
      <alignment horizontal="left" wrapText="1"/>
    </xf>
    <xf numFmtId="0" fontId="5" fillId="0" borderId="76"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1" fillId="5" borderId="39" xfId="0" applyFont="1" applyFill="1" applyBorder="1" applyAlignment="1">
      <alignment horizontal="center"/>
    </xf>
    <xf numFmtId="0" fontId="1" fillId="5" borderId="15" xfId="0" applyFont="1" applyFill="1" applyBorder="1" applyAlignment="1">
      <alignment horizontal="center"/>
    </xf>
    <xf numFmtId="0" fontId="1" fillId="5" borderId="40" xfId="0" applyFont="1" applyFill="1" applyBorder="1" applyAlignment="1">
      <alignment horizontal="center"/>
    </xf>
    <xf numFmtId="0" fontId="1" fillId="5" borderId="39" xfId="0" applyFont="1" applyFill="1" applyBorder="1" applyAlignment="1">
      <alignment horizontal="left"/>
    </xf>
    <xf numFmtId="0" fontId="1" fillId="5" borderId="15" xfId="0" applyFont="1" applyFill="1" applyBorder="1" applyAlignment="1">
      <alignment horizontal="left"/>
    </xf>
    <xf numFmtId="0" fontId="1" fillId="5" borderId="60" xfId="0" applyFont="1" applyFill="1" applyBorder="1" applyAlignment="1">
      <alignment horizontal="left"/>
    </xf>
    <xf numFmtId="0" fontId="0" fillId="5" borderId="65" xfId="0" applyFill="1" applyBorder="1"/>
    <xf numFmtId="0" fontId="0" fillId="5" borderId="62" xfId="0" applyFill="1" applyBorder="1"/>
    <xf numFmtId="0" fontId="0" fillId="5" borderId="56" xfId="0" applyFill="1" applyBorder="1"/>
    <xf numFmtId="0" fontId="0" fillId="5" borderId="62" xfId="0" applyFill="1" applyBorder="1" applyAlignment="1">
      <alignment horizontal="right"/>
    </xf>
    <xf numFmtId="0" fontId="0" fillId="5" borderId="56" xfId="0" applyFill="1" applyBorder="1" applyAlignment="1">
      <alignment horizontal="right"/>
    </xf>
    <xf numFmtId="0" fontId="0" fillId="0" borderId="69" xfId="0" applyBorder="1"/>
    <xf numFmtId="0" fontId="0" fillId="0" borderId="70" xfId="0" applyBorder="1"/>
    <xf numFmtId="0" fontId="0" fillId="5" borderId="68" xfId="0" applyFill="1" applyBorder="1" applyAlignment="1">
      <alignment horizontal="right"/>
    </xf>
    <xf numFmtId="0" fontId="0" fillId="5" borderId="67" xfId="0" applyFill="1" applyBorder="1" applyAlignment="1">
      <alignment horizontal="right"/>
    </xf>
    <xf numFmtId="0" fontId="0" fillId="5" borderId="66" xfId="0" applyFill="1" applyBorder="1"/>
    <xf numFmtId="0" fontId="0" fillId="5" borderId="67" xfId="0" applyFill="1" applyBorder="1"/>
    <xf numFmtId="49" fontId="0" fillId="2" borderId="86" xfId="0" applyNumberFormat="1" applyFill="1" applyBorder="1" applyAlignment="1">
      <alignment vertical="top"/>
    </xf>
    <xf numFmtId="49" fontId="0" fillId="2" borderId="87" xfId="0" applyNumberFormat="1" applyFill="1" applyBorder="1" applyAlignment="1">
      <alignment vertical="top"/>
    </xf>
    <xf numFmtId="49" fontId="0" fillId="2" borderId="90" xfId="0" applyNumberFormat="1" applyFill="1" applyBorder="1" applyAlignment="1">
      <alignment vertical="top"/>
    </xf>
    <xf numFmtId="49" fontId="0" fillId="2" borderId="88" xfId="0" applyNumberFormat="1" applyFill="1" applyBorder="1" applyAlignment="1">
      <alignment vertical="top"/>
    </xf>
    <xf numFmtId="49" fontId="0" fillId="2" borderId="0" xfId="0" applyNumberFormat="1" applyFill="1" applyAlignment="1">
      <alignment vertical="top"/>
    </xf>
    <xf numFmtId="49" fontId="0" fillId="2" borderId="91" xfId="0" applyNumberFormat="1" applyFill="1" applyBorder="1" applyAlignment="1">
      <alignment vertical="top"/>
    </xf>
    <xf numFmtId="49" fontId="0" fillId="2" borderId="92" xfId="0" applyNumberFormat="1" applyFill="1" applyBorder="1" applyAlignment="1">
      <alignment vertical="top"/>
    </xf>
    <xf numFmtId="49" fontId="0" fillId="2" borderId="2" xfId="0" applyNumberFormat="1" applyFill="1" applyBorder="1" applyAlignment="1">
      <alignment vertical="top"/>
    </xf>
    <xf numFmtId="49" fontId="0" fillId="2" borderId="93" xfId="0" applyNumberFormat="1" applyFill="1" applyBorder="1" applyAlignment="1">
      <alignment vertical="top"/>
    </xf>
    <xf numFmtId="0" fontId="0" fillId="2" borderId="10" xfId="0" applyFill="1" applyBorder="1" applyAlignment="1">
      <alignment horizontal="left"/>
    </xf>
    <xf numFmtId="0" fontId="0" fillId="2" borderId="12" xfId="0" applyFill="1" applyBorder="1" applyAlignment="1">
      <alignment horizontal="left"/>
    </xf>
    <xf numFmtId="0" fontId="0" fillId="2" borderId="10" xfId="0" applyFill="1" applyBorder="1"/>
    <xf numFmtId="0" fontId="0" fillId="2" borderId="12" xfId="0" applyFill="1" applyBorder="1"/>
    <xf numFmtId="0" fontId="0" fillId="2" borderId="13" xfId="0" applyFill="1" applyBorder="1" applyAlignment="1">
      <alignment horizontal="left"/>
    </xf>
    <xf numFmtId="0" fontId="0" fillId="2" borderId="14" xfId="0" applyFill="1" applyBorder="1" applyAlignment="1">
      <alignment horizontal="left"/>
    </xf>
    <xf numFmtId="0" fontId="0" fillId="2" borderId="18" xfId="0" applyFill="1" applyBorder="1" applyAlignment="1">
      <alignment horizontal="left"/>
    </xf>
    <xf numFmtId="0" fontId="0" fillId="2" borderId="15" xfId="0" applyFill="1" applyBorder="1" applyAlignment="1">
      <alignment horizontal="left"/>
    </xf>
    <xf numFmtId="0" fontId="0" fillId="2" borderId="17" xfId="0" applyFill="1" applyBorder="1" applyAlignment="1">
      <alignment horizontal="left"/>
    </xf>
    <xf numFmtId="0" fontId="3" fillId="5" borderId="39" xfId="0" applyFont="1" applyFill="1" applyBorder="1" applyAlignment="1">
      <alignment horizontal="center"/>
    </xf>
    <xf numFmtId="0" fontId="3" fillId="5" borderId="15" xfId="0" applyFont="1" applyFill="1" applyBorder="1" applyAlignment="1">
      <alignment horizontal="center"/>
    </xf>
    <xf numFmtId="0" fontId="3" fillId="5" borderId="40" xfId="0" applyFont="1" applyFill="1" applyBorder="1" applyAlignment="1">
      <alignment horizontal="center"/>
    </xf>
    <xf numFmtId="0" fontId="0" fillId="5" borderId="61" xfId="0" applyFill="1" applyBorder="1"/>
    <xf numFmtId="0" fontId="0" fillId="5" borderId="55" xfId="0" applyFill="1" applyBorder="1"/>
    <xf numFmtId="0" fontId="0" fillId="5" borderId="63" xfId="0" applyFill="1" applyBorder="1"/>
    <xf numFmtId="0" fontId="0" fillId="5" borderId="64" xfId="0" applyFill="1" applyBorder="1"/>
    <xf numFmtId="0" fontId="0" fillId="5" borderId="58" xfId="0" applyFill="1" applyBorder="1"/>
    <xf numFmtId="0" fontId="1" fillId="5" borderId="60" xfId="0" applyFont="1" applyFill="1" applyBorder="1" applyAlignment="1">
      <alignment horizontal="center"/>
    </xf>
    <xf numFmtId="0" fontId="0" fillId="5" borderId="61" xfId="0" applyFill="1" applyBorder="1" applyAlignment="1">
      <alignment horizontal="right"/>
    </xf>
    <xf numFmtId="0" fontId="0" fillId="5" borderId="55" xfId="0" applyFill="1" applyBorder="1" applyAlignment="1">
      <alignment horizontal="right"/>
    </xf>
    <xf numFmtId="0" fontId="1" fillId="0" borderId="71" xfId="0" applyFont="1" applyBorder="1" applyAlignment="1">
      <alignment horizontal="right"/>
    </xf>
    <xf numFmtId="0" fontId="1" fillId="0" borderId="72" xfId="0" applyFont="1" applyBorder="1" applyAlignment="1">
      <alignment horizontal="right"/>
    </xf>
    <xf numFmtId="0" fontId="0" fillId="2" borderId="11" xfId="0" applyFill="1" applyBorder="1"/>
    <xf numFmtId="0" fontId="0" fillId="2" borderId="27" xfId="0" applyFill="1" applyBorder="1" applyAlignment="1">
      <alignment horizontal="left"/>
    </xf>
    <xf numFmtId="0" fontId="0" fillId="2" borderId="28" xfId="0" applyFill="1" applyBorder="1" applyAlignment="1">
      <alignment horizontal="left"/>
    </xf>
    <xf numFmtId="0" fontId="0" fillId="2" borderId="44" xfId="0" applyFill="1" applyBorder="1" applyAlignment="1">
      <alignment horizontal="left"/>
    </xf>
    <xf numFmtId="0" fontId="0" fillId="2" borderId="45" xfId="0" applyFill="1" applyBorder="1" applyAlignment="1">
      <alignment horizontal="left"/>
    </xf>
    <xf numFmtId="0" fontId="0" fillId="2" borderId="16" xfId="0" applyFill="1" applyBorder="1"/>
    <xf numFmtId="0" fontId="0" fillId="2" borderId="26" xfId="0" applyFill="1" applyBorder="1"/>
    <xf numFmtId="0" fontId="0" fillId="2" borderId="16" xfId="0" applyFill="1" applyBorder="1" applyAlignment="1">
      <alignment horizontal="left"/>
    </xf>
    <xf numFmtId="0" fontId="0" fillId="2" borderId="26" xfId="0" applyFill="1" applyBorder="1" applyAlignment="1">
      <alignment horizontal="left"/>
    </xf>
    <xf numFmtId="0" fontId="0" fillId="2" borderId="71" xfId="0" applyFill="1" applyBorder="1"/>
    <xf numFmtId="0" fontId="0" fillId="2" borderId="72" xfId="0" applyFill="1" applyBorder="1"/>
    <xf numFmtId="0" fontId="0" fillId="2" borderId="33" xfId="0" applyFill="1" applyBorder="1" applyAlignment="1">
      <alignment horizontal="left"/>
    </xf>
    <xf numFmtId="0" fontId="0" fillId="2" borderId="34" xfId="0" applyFill="1" applyBorder="1" applyAlignment="1">
      <alignment horizontal="left"/>
    </xf>
    <xf numFmtId="49" fontId="0" fillId="2" borderId="86" xfId="0" applyNumberFormat="1" applyFill="1" applyBorder="1" applyAlignment="1">
      <alignment vertical="top" wrapText="1"/>
    </xf>
    <xf numFmtId="49" fontId="0" fillId="2" borderId="87" xfId="0" applyNumberFormat="1" applyFill="1" applyBorder="1" applyAlignment="1">
      <alignment vertical="top" wrapText="1"/>
    </xf>
    <xf numFmtId="49" fontId="0" fillId="2" borderId="90" xfId="0" applyNumberFormat="1" applyFill="1" applyBorder="1" applyAlignment="1">
      <alignment vertical="top" wrapText="1"/>
    </xf>
    <xf numFmtId="49" fontId="0" fillId="2" borderId="88" xfId="0" applyNumberFormat="1" applyFill="1" applyBorder="1" applyAlignment="1">
      <alignment vertical="top" wrapText="1"/>
    </xf>
    <xf numFmtId="49" fontId="0" fillId="2" borderId="0" xfId="0" applyNumberFormat="1" applyFill="1" applyAlignment="1">
      <alignment vertical="top" wrapText="1"/>
    </xf>
    <xf numFmtId="49" fontId="0" fillId="2" borderId="91" xfId="0" applyNumberFormat="1" applyFill="1" applyBorder="1" applyAlignment="1">
      <alignment vertical="top" wrapText="1"/>
    </xf>
    <xf numFmtId="49" fontId="0" fillId="2" borderId="92" xfId="0" applyNumberFormat="1" applyFill="1" applyBorder="1" applyAlignment="1">
      <alignment vertical="top" wrapText="1"/>
    </xf>
    <xf numFmtId="49" fontId="0" fillId="2" borderId="2" xfId="0" applyNumberFormat="1" applyFill="1" applyBorder="1" applyAlignment="1">
      <alignment vertical="top" wrapText="1"/>
    </xf>
    <xf numFmtId="49" fontId="0" fillId="2" borderId="93" xfId="0" applyNumberFormat="1" applyFill="1" applyBorder="1" applyAlignment="1">
      <alignment vertical="top" wrapText="1"/>
    </xf>
    <xf numFmtId="0" fontId="0" fillId="2" borderId="11" xfId="0" applyFill="1" applyBorder="1" applyAlignment="1">
      <alignment horizontal="left"/>
    </xf>
    <xf numFmtId="0" fontId="0" fillId="2" borderId="85" xfId="0" applyFill="1" applyBorder="1"/>
    <xf numFmtId="0" fontId="5" fillId="0" borderId="86" xfId="0" applyFont="1" applyBorder="1" applyAlignment="1">
      <alignment vertical="center" wrapText="1"/>
    </xf>
    <xf numFmtId="0" fontId="5" fillId="0" borderId="87" xfId="0" applyFont="1" applyBorder="1" applyAlignment="1">
      <alignment vertical="center" wrapText="1"/>
    </xf>
    <xf numFmtId="0" fontId="5" fillId="0" borderId="90" xfId="0" applyFont="1" applyBorder="1" applyAlignment="1">
      <alignment vertical="center" wrapText="1"/>
    </xf>
    <xf numFmtId="0" fontId="5" fillId="0" borderId="88" xfId="0" applyFont="1" applyBorder="1" applyAlignment="1">
      <alignment vertical="center" wrapText="1"/>
    </xf>
    <xf numFmtId="0" fontId="5" fillId="0" borderId="0" xfId="0" applyFont="1" applyAlignment="1">
      <alignment vertical="center" wrapText="1"/>
    </xf>
    <xf numFmtId="0" fontId="5" fillId="0" borderId="91" xfId="0" applyFont="1" applyBorder="1" applyAlignment="1">
      <alignment vertical="center" wrapText="1"/>
    </xf>
    <xf numFmtId="0" fontId="5" fillId="0" borderId="92" xfId="0" applyFont="1" applyBorder="1" applyAlignment="1">
      <alignment vertical="center" wrapText="1"/>
    </xf>
    <xf numFmtId="0" fontId="5" fillId="0" borderId="2" xfId="0" applyFont="1" applyBorder="1" applyAlignment="1">
      <alignment vertical="center" wrapText="1"/>
    </xf>
    <xf numFmtId="0" fontId="5" fillId="0" borderId="93" xfId="0" applyFont="1" applyBorder="1" applyAlignment="1">
      <alignment vertical="center" wrapText="1"/>
    </xf>
  </cellXfs>
  <cellStyles count="2">
    <cellStyle name="Normal" xfId="0" builtinId="0"/>
    <cellStyle name="Percent" xfId="1" builtinId="5"/>
  </cellStyles>
  <dxfs count="2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alignment horizontal="general" vertical="bottom" textRotation="0" wrapText="0" indent="0" justifyLastLine="0" shrinkToFit="0" readingOrder="0"/>
    </dxf>
    <dxf>
      <numFmt numFmtId="30" formatCode="@"/>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border diagonalUp="0" diagonalDown="0" outline="0">
        <left/>
        <right style="thin">
          <color theme="0"/>
        </right>
        <top style="thin">
          <color theme="0"/>
        </top>
        <bottom/>
      </border>
    </dxf>
    <dxf>
      <border outline="0">
        <top style="thin">
          <color theme="0"/>
        </top>
      </border>
    </dxf>
    <dxf>
      <border outline="0">
        <bottom style="thin">
          <color theme="0"/>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9"/>
        <color theme="0"/>
        <name val="Calibri"/>
        <family val="2"/>
        <scheme val="minor"/>
      </font>
      <fill>
        <patternFill patternType="none">
          <fgColor indexed="64"/>
          <bgColor auto="1"/>
        </patternFill>
      </fill>
      <border diagonalUp="0" diagonalDown="0" outline="0">
        <left style="thin">
          <color theme="0"/>
        </left>
        <right style="thin">
          <color theme="0"/>
        </right>
        <top/>
        <bottom/>
      </border>
    </dxf>
    <dxf>
      <alignment horizontal="left" vertical="bottom" textRotation="0" wrapText="0" indent="0" justifyLastLine="0" shrinkToFit="0" readingOrder="0"/>
    </dxf>
    <dxf>
      <numFmt numFmtId="14" formatCode="0.00%"/>
    </dxf>
    <dxf>
      <numFmt numFmtId="14" formatCode="0.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C1FCB9-C871-4366-9075-148458B097F6}" name="Table4" displayName="Table4" ref="A1:N3" totalsRowShown="0">
  <autoFilter ref="A1:N3" xr:uid="{8A17ACDB-869A-4A1C-9F1E-2CFEB9C908B0}"/>
  <tableColumns count="14">
    <tableColumn id="1" xr3:uid="{714966E6-9966-4FC3-B64F-C6F89D999B18}" name="Robot Name">
      <calculatedColumnFormula>INDIRECT(Table4[[#This Row],[Tab]]&amp;"!B2")</calculatedColumnFormula>
    </tableColumn>
    <tableColumn id="2" xr3:uid="{060AB2FE-92F4-4ABA-9E53-B8066FA38A40}" name="Tab"/>
    <tableColumn id="3" xr3:uid="{AC77EDA1-4E76-48C1-B11E-64DDA2F55597}" name="Size">
      <calculatedColumnFormula>INDIRECT(Table4[[#This Row],[Tab]]&amp;"!B4")</calculatedColumnFormula>
    </tableColumn>
    <tableColumn id="4" xr3:uid="{2F496C0F-2FAF-485E-99BB-32EEF3ED154F}" name="1">
      <calculatedColumnFormula>IF(LEFT(INDIRECT(Table4[[#This Row],[Tab]]&amp;"!A1"),1)="R",INDIRECT(Table4[[#This Row],[Tab]]&amp;"!M11"),INDIRECT(Table4[[#This Row],[Tab]]&amp;"!M9"))</calculatedColumnFormula>
    </tableColumn>
    <tableColumn id="5" xr3:uid="{8EA2442C-6311-4FC8-B1C0-50EE2B66B647}" name="Locomotion">
      <calculatedColumnFormula>INDIRECT(Table4[[#This Row],[Tab]]&amp;"!B5")</calculatedColumnFormula>
    </tableColumn>
    <tableColumn id="6" xr3:uid="{B65ED2CF-1634-47B5-8976-FA2B3BF25E60}" name="Speed">
      <calculatedColumnFormula>IF(LEFT(INDIRECT(Table4[[#This Row],[Tab]]&amp;"!A1"),1)="R",INDIRECT(Table4[[#This Row],[Tab]]&amp;"!J14"),INDIRECT(Table4[[#This Row],[Tab]]&amp;"!J12"))</calculatedColumnFormula>
    </tableColumn>
    <tableColumn id="7" xr3:uid="{40E00BD2-ED28-4858-BAC4-6DBCDFA737B8}" name="TL">
      <calculatedColumnFormula>INDIRECT(Table4[[#This Row],[Tab]]&amp;"!O2")</calculatedColumnFormula>
    </tableColumn>
    <tableColumn id="8" xr3:uid="{640F0E41-B9A9-4E53-8C8A-F5995EC566DC}" name="Cost">
      <calculatedColumnFormula>IF(LEFT(INDIRECT(Table4[[#This Row],[Tab]]&amp;"!A1"),1)="R",INDIRECT(Table4[[#This Row],[Tab]]&amp;"!F97"),INDIRECT(Table4[[#This Row],[Tab]]&amp;"!F54"))</calculatedColumnFormula>
    </tableColumn>
    <tableColumn id="9" xr3:uid="{2320CFC6-64B8-4825-AB86-A9F7E00945A1}" name="Brain">
      <calculatedColumnFormula>IF(LEFT(INDIRECT(Table4[[#This Row],[Tab]]&amp;"!A1"),1)="R",INDIRECT(Table4[[#This Row],[Tab]]&amp;"!B103"),INDIRECT(Table4[[#This Row],[Tab]]&amp;"!B60"))</calculatedColumnFormula>
    </tableColumn>
    <tableColumn id="10" xr3:uid="{8AF609B7-74BB-4D42-8E5C-9B45814B964B}" name="Reference">
      <calculatedColumnFormula>INDIRECT(Table4[[#This Row],[Tab]]&amp;"!I2")</calculatedColumnFormula>
    </tableColumn>
    <tableColumn id="11" xr3:uid="{6ED4307F-318D-4B55-8B1D-BF70A2F7927E}" name="Agility">
      <calculatedColumnFormula>INDIRECT(Table4[[#This Row],[Tab]]&amp;"!B13")</calculatedColumnFormula>
    </tableColumn>
    <tableColumn id="12" xr3:uid="{5430B161-4524-4B4E-AA75-FDF9FA50F519}" name="PP">
      <calculatedColumnFormula>INDIRECT(Table4[[#This Row],[Tab]]&amp;"!B9")</calculatedColumnFormula>
    </tableColumn>
    <tableColumn id="13" xr3:uid="{DEEE3A83-76F8-43A9-82BC-B9F39DD3CF5D}" name="End Final">
      <calculatedColumnFormula>IF(LEFT(INDIRECT(Table4[[#This Row],[Tab]]&amp;"!A1"),1)="R",INDIRECT(Table4[[#This Row],[Tab]]&amp;"!K14"),INDIRECT(Table4[[#This Row],[Tab]]&amp;"!K12"))</calculatedColumnFormula>
    </tableColumn>
    <tableColumn id="15" xr3:uid="{C9764110-51DE-4325-9311-650C59B4E244}" name="Ath(end)">
      <calculatedColumnFormula>IF(LEFT(INDIRECT(Table4[[#This Row],[Tab]]&amp;"!A1"),1)="R",INDIRECT(Table4[[#This Row],[Tab]]&amp;"!O9"),INDIRECT(Table4[[#This Row],[Tab]]&amp;"!O8"))</calculatedColumnFormula>
    </tableColumn>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A1996F-647F-4E20-96DE-50DDCED60ACF}" name="Size" displayName="Size" ref="B2:F15" totalsRowShown="0">
  <autoFilter ref="B2:F15" xr:uid="{44C5762D-34CD-4FB7-8C3F-C7BF93EB7577}"/>
  <tableColumns count="5">
    <tableColumn id="1" xr3:uid="{4721F3E7-2129-450A-B958-39644170B909}" name="Size"/>
    <tableColumn id="2" xr3:uid="{ACA7BF34-22C2-46BC-9584-F9E7119B4803}" name="Basic Cost"/>
    <tableColumn id="3" xr3:uid="{7C813DB0-908E-4C1C-ABA4-679AF7D9776C}" name="Base Slots"/>
    <tableColumn id="4" xr3:uid="{8F4FD135-9541-47F2-A87F-25DB93A11154}" name="Base hits"/>
    <tableColumn id="5" xr3:uid="{B41D2364-B568-43E0-A34E-BC38FB686972}" name="Hit DM"/>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4D7221-2C83-4DCD-8AE2-7A8D42FCEAC3}" name="Locomotion" displayName="Locomotion" ref="H2:N13" totalsRowShown="0">
  <autoFilter ref="H2:N13" xr:uid="{F74E06A7-D714-4124-86D7-1FD730B6E5E7}"/>
  <tableColumns count="7">
    <tableColumn id="1" xr3:uid="{E05C5B04-515A-475F-A887-94D19E1D9B7F}" name="Locomotion"/>
    <tableColumn id="2" xr3:uid="{13DFE147-88BA-43EC-A255-9A354A59C974}" name="TL"/>
    <tableColumn id="3" xr3:uid="{2FD8D4EB-E3C7-47C1-8EC2-248D1363313D}" name="Cost X"/>
    <tableColumn id="4" xr3:uid="{37387D8E-0E37-4481-8669-42AAC4C005C4}" name="Agility" dataDxfId="228"/>
    <tableColumn id="5" xr3:uid="{61560283-DFB8-489A-B9C1-CFEA0DC34B16}" name="Traits"/>
    <tableColumn id="8" xr3:uid="{F307FE93-6B45-4CFF-B16E-E6B580EB207D}" name="High Speed"/>
    <tableColumn id="6" xr3:uid="{71A002F1-EDDA-4666-AF07-3755FFBAF99F}" name="Endurance"/>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2F917B-EB89-4738-B00F-BFEC7B6E508B}" name="Armour" displayName="Armour" ref="Q2:W16" totalsRowShown="0">
  <autoFilter ref="Q2:W16" xr:uid="{465EB8CC-9063-432A-95FC-DF660F4F641F}"/>
  <tableColumns count="7">
    <tableColumn id="1" xr3:uid="{331BC823-B968-45D6-83F0-A4E0C5E3FB45}" name="TL"/>
    <tableColumn id="2" xr3:uid="{876F2402-7EF2-4A35-9915-CB72B6C009A8}" name="Base"/>
    <tableColumn id="3" xr3:uid="{BC7FCA67-A8D8-48B1-A001-EF6B555961F1}" name="Max"/>
    <tableColumn id="4" xr3:uid="{9B3CA223-B3DF-4B36-A028-DB0E9AB3F9E2}" name="Cost" dataDxfId="227"/>
    <tableColumn id="5" xr3:uid="{35438DE4-9A7D-42E6-A315-E6F98379009C}" name="Slots" dataDxfId="226"/>
    <tableColumn id="6" xr3:uid="{274C9FEC-AF0D-478A-B00D-73BA8475B4CE}" name="Max/slot"/>
    <tableColumn id="7" xr3:uid="{08E7BFF4-48EE-45A3-8FD0-FFB1A15352D3}" name="Cost/Slot"/>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2A04DAA-353C-4CB7-98C9-1B3D596146BD}" name="Speedbands" displayName="Speedbands" ref="Y2:AB13" totalsRowShown="0">
  <autoFilter ref="Y2:AB13" xr:uid="{3FB42EEE-FA0F-4264-B9F4-5A091153F521}"/>
  <tableColumns count="4">
    <tableColumn id="1" xr3:uid="{AEB8D0A5-0AB7-49B5-A13C-0D04272B72B8}" name="Speed Band"/>
    <tableColumn id="2" xr3:uid="{E871D941-CF7C-4ED9-92C9-166EC2803E92}" name="Number"/>
    <tableColumn id="4" xr3:uid="{7FC5565B-042B-4C7F-B8CD-14078E3DD348}" name="Low"/>
    <tableColumn id="3" xr3:uid="{7AF58C0B-485B-4B3D-B5F6-4F7EF39285CF}" name="High" dataDxfId="225"/>
  </tableColumns>
  <tableStyleInfo name="TableStyleMedium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F8147F-F3A8-404A-AC00-E3BC1874E2AB}" name="Brains" displayName="Brains" ref="B2:I19" totalsRowShown="0">
  <autoFilter ref="B2:I19" xr:uid="{E6B224F7-2CC4-499D-A917-6EA607C540F7}"/>
  <tableColumns count="8">
    <tableColumn id="1" xr3:uid="{ADD79A9B-4C80-4112-AA63-0795E6FC4C9E}" name="Programming/Control"/>
    <tableColumn id="2" xr3:uid="{CF954C47-4953-4F70-A583-0B86EAE12231}" name="TL"/>
    <tableColumn id="3" xr3:uid="{9D8806BB-BBDC-4F86-A979-3107BF3DF9B6}" name="Computer/X"/>
    <tableColumn id="4" xr3:uid="{39E76E61-EC3E-4820-B9C7-9B3903423198}" name="Cost"/>
    <tableColumn id="5" xr3:uid="{3530A719-678A-4B90-B9A1-37097C640CE9}" name="Base INT"/>
    <tableColumn id="6" xr3:uid="{EC644665-51F8-4B65-AD3D-FD0296334680}" name="Skill DM"/>
    <tableColumn id="8" xr3:uid="{AFE1B516-09FD-4535-A62D-FF6F1D829F36}" name="Skill"/>
    <tableColumn id="7" xr3:uid="{07725C7C-DBFA-49D4-80A7-1A44952C7F67}" name="Base capability (built-in no bandwidth, cumulative)"/>
  </tableColumns>
  <tableStyleInfo name="TableStyleMedium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27B57C-3618-4A3C-B8DD-FC045E52A9BC}" name="Bandwidth" displayName="Bandwidth" ref="K2:O16" totalsRowShown="0">
  <autoFilter ref="K2:O16" xr:uid="{685B670F-CBD4-4F01-B956-819D16289B7B}"/>
  <tableColumns count="5">
    <tableColumn id="1" xr3:uid="{44834E7D-A6EA-4C0F-8EFB-40C641347B92}" name="Minimum Base Brain"/>
    <tableColumn id="2" xr3:uid="{7AD733C2-0497-4214-901F-3915923B1654}" name="TL"/>
    <tableColumn id="5" xr3:uid="{0E4369FF-EA23-49DD-9E55-3B56DF3E433E}" name="Slots"/>
    <tableColumn id="3" xr3:uid="{15ADFC0E-00CA-4434-80ED-6C7081576A2E}" name="Bandwidth"/>
    <tableColumn id="4" xr3:uid="{D737530F-9EEF-4648-9A6D-53018F03FF36}" name="Cost"/>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C372E2-F073-4FBE-8CB3-AB2B99E64EF7}" name="MicrobotBrains" displayName="MicrobotBrains" ref="B23:I29" totalsRowShown="0" headerRowDxfId="224" dataDxfId="222" headerRowBorderDxfId="223" tableBorderDxfId="221" totalsRowBorderDxfId="220">
  <autoFilter ref="B23:I29" xr:uid="{02BA4621-FB91-4749-BDDE-E19DA918A85D}"/>
  <tableColumns count="8">
    <tableColumn id="1" xr3:uid="{AED81455-EAD0-4E34-85F5-5AAAE901B5E9}" name="Programming/Control" dataDxfId="219"/>
    <tableColumn id="2" xr3:uid="{01DD58E2-B600-461B-9E5D-36682E64C4EB}" name="TL" dataDxfId="218"/>
    <tableColumn id="3" xr3:uid="{4FDE8790-1B0B-4F76-9CD9-2AE60F5334B9}" name="Computer/X" dataDxfId="217"/>
    <tableColumn id="4" xr3:uid="{E90DF888-3DA3-4374-B202-650E8EE1AC31}" name="Cost" dataDxfId="216"/>
    <tableColumn id="5" xr3:uid="{F3B15BFF-DBEA-4F06-A4BB-F5732A3A6655}" name="Base INT" dataDxfId="215"/>
    <tableColumn id="6" xr3:uid="{3E2C9B21-0ED6-4582-BB74-D910052B9503}" name="Skill DM" dataDxfId="214"/>
    <tableColumn id="7" xr3:uid="{55EC0D50-D3EE-4CF0-81A2-AE55EEA271C0}" name="Skill" dataDxfId="213"/>
    <tableColumn id="8" xr3:uid="{8B8C0E68-4791-4D51-9E1C-1B04624BFEBF}" name="Base capability (built-in no bandwidth, cumulative)" dataDxfId="212"/>
  </tableColumns>
  <tableStyleInfo name="TableStyleMedium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0CCB4EE-386C-44B5-9401-206287B4B1AC}" name="OptionsTable" displayName="OptionsTable" ref="B2:O256" totalsRowShown="0">
  <autoFilter ref="B2:O256" xr:uid="{4D68936E-940B-4103-B191-1CD129662FEA}"/>
  <sortState xmlns:xlrd2="http://schemas.microsoft.com/office/spreadsheetml/2017/richdata2" ref="B3:O256">
    <sortCondition ref="O9:O256"/>
    <sortCondition ref="C9:C256"/>
  </sortState>
  <tableColumns count="14">
    <tableColumn id="1" xr3:uid="{3C9C6F76-6C0F-4ACB-B9BB-75F17ECDB811}" name="Category"/>
    <tableColumn id="2" xr3:uid="{3573FBDE-EB60-4C6A-9C2B-9AA806EF7A8F}" name="Name"/>
    <tableColumn id="3" xr3:uid="{D71FED42-D7AD-4C5E-BC3D-940AB122B511}" name="Level"/>
    <tableColumn id="4" xr3:uid="{7677DA72-94CE-413D-BF55-A4B39656D61C}" name="TL"/>
    <tableColumn id="8" xr3:uid="{287DE420-AB85-441B-93B1-4EFCBA691E2E}" name="Slots"/>
    <tableColumn id="12" xr3:uid="{3CA389BC-10C1-4B0F-B085-3FE0071D8C50}" name="pSlot"/>
    <tableColumn id="14" xr3:uid="{4587ED33-05F5-4C74-92E2-DA3F1AE09B7A}" name="Size0"/>
    <tableColumn id="5" xr3:uid="{A03F22A6-FE17-4F70-B145-39E6BB46CEED}" name="Notes" dataDxfId="211"/>
    <tableColumn id="10" xr3:uid="{F53DF95C-AEC9-4FBB-9CB9-6605A8AAABD6}" name="Trait" dataDxfId="210"/>
    <tableColumn id="9" xr3:uid="{BA91A20B-9165-489B-89F4-8339BBCC9887}" name="Skill" dataDxfId="209"/>
    <tableColumn id="6" xr3:uid="{4C35465A-348A-4FC6-8B8F-7DC71C659E0B}" name="Cost"/>
    <tableColumn id="11" xr3:uid="{2C7A360E-FF9D-490D-916F-F6A18746BF11}" name="xS"/>
    <tableColumn id="7" xr3:uid="{757ACB8C-1A59-4C28-8CE7-3540B190845A}" name="DS"/>
    <tableColumn id="13" xr3:uid="{8407332B-258D-4A45-9021-86C00988AAC3}" name="Sort"/>
  </tableColumns>
  <tableStyleInfo name="TableStyleMedium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8E6389-1CE1-41F0-BE42-20FD1CB0C210}" name="PrimitiveBrain" displayName="PrimitiveBrain" ref="B2:G7" totalsRowShown="0">
  <autoFilter ref="B2:G7" xr:uid="{BF4F7267-F8CD-455A-AD3D-D54B601A46A0}"/>
  <tableColumns count="6">
    <tableColumn id="1" xr3:uid="{A9EB37E1-9ABD-462F-97F6-ABBEBEE20086}" name="Name"/>
    <tableColumn id="2" xr3:uid="{9E21070A-4801-4F23-A3D9-BA912048CE6F}" name="TL"/>
    <tableColumn id="3" xr3:uid="{37BE206B-079A-450F-A78A-51636AB854E3}" name="Bandwidth"/>
    <tableColumn id="6" xr3:uid="{03D74A03-9183-40A3-A655-6CAFA19B99AC}" name="Characteristic"/>
    <tableColumn id="4" xr3:uid="{B9D61DE6-5B46-4661-8263-71B29876B022}" name="Skill"/>
    <tableColumn id="5" xr3:uid="{C9194352-E516-4488-BA97-508D81B3C025}" name="Cr"/>
  </tableColumns>
  <tableStyleInfo name="TableStyleMedium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301466-97FA-474A-8C27-E32E2A2457CC}" name="BasicBrain" displayName="BasicBrain" ref="B10:G19" totalsRowShown="0">
  <autoFilter ref="B10:G19" xr:uid="{F68762F7-F269-4285-8966-CA6C984DFAB7}"/>
  <tableColumns count="6">
    <tableColumn id="1" xr3:uid="{94F42CCF-0E75-46C4-B68E-B5F3102A4191}" name="Name"/>
    <tableColumn id="2" xr3:uid="{E7632D86-479A-4D39-9CA6-3A52809452BD}" name="TL"/>
    <tableColumn id="3" xr3:uid="{9ED31DA0-5FD5-4499-9A5E-5D9C3B3F78A1}" name="Bandwidth"/>
    <tableColumn id="6" xr3:uid="{8F30477A-A06B-48E9-B58C-B2A4D69D367A}" name="Characteristic"/>
    <tableColumn id="4" xr3:uid="{22FAE637-EC63-4774-B85D-E87CC062CD0D}" name="Skill"/>
    <tableColumn id="5" xr3:uid="{9EDF4D5C-DB5A-4788-BA69-7CF365A2590D}" name="Cr"/>
  </tableColumns>
  <tableStyleInfo name="TableStyleMedium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31F688-2B9D-4428-9E5D-A6B240A0DE82}" name="HunterKillerBrain" displayName="HunterKillerBrain" ref="B22:G25" totalsRowShown="0">
  <autoFilter ref="B22:G25" xr:uid="{C072E972-64D7-4991-9139-511127EF1625}"/>
  <tableColumns count="6">
    <tableColumn id="1" xr3:uid="{662148AD-4AB6-4414-B8D2-5E5033AC5AFA}" name="Name"/>
    <tableColumn id="2" xr3:uid="{D062F531-C0B2-43E7-89F4-152F909A134F}" name="TL"/>
    <tableColumn id="3" xr3:uid="{3913DA7E-024C-4B42-87A5-67D499CF4751}" name="Bandwidth"/>
    <tableColumn id="6" xr3:uid="{088BAF96-71CB-41C3-BD97-82A9936F756C}" name="Characteristic"/>
    <tableColumn id="4" xr3:uid="{8EAD4EEA-2CF8-43E3-8D28-9673736D6548}" name="Skill"/>
    <tableColumn id="5" xr3:uid="{BD97CE02-9985-48B9-A647-2594D478BB74}" name="Cr"/>
  </tableColumns>
  <tableStyleInfo name="TableStyleMedium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32862AC-0426-4006-BAD1-9312FE49BF23}" name="StandardBrain" displayName="StandardBrain" ref="B28:G82" totalsRowShown="0">
  <autoFilter ref="B28:G82" xr:uid="{EFD5EFA2-EB93-4DE9-B259-3958F683EFA0}"/>
  <tableColumns count="6">
    <tableColumn id="1" xr3:uid="{97F88853-4C99-46D4-A9B6-FCFFD596ACDF}" name="Name"/>
    <tableColumn id="2" xr3:uid="{6ECA7953-C746-4517-A681-CD6E784D31F7}" name="TL"/>
    <tableColumn id="3" xr3:uid="{DA644117-D95D-4A3A-8CFA-C6D460D4C82B}" name="Bandwidth"/>
    <tableColumn id="6" xr3:uid="{0E001A2F-6DB6-4D35-87A7-0A0C4A4CDE61}" name="Characteristic"/>
    <tableColumn id="4" xr3:uid="{7BCEACE7-5F18-492A-803C-F543FEC9E5CB}" name="Skill"/>
    <tableColumn id="5" xr3:uid="{97F0C234-D4C4-407B-BFEA-D3F36A8ACC23}" name="Cr"/>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5" Type="http://schemas.openxmlformats.org/officeDocument/2006/relationships/table" Target="../tables/table13.xml"/><Relationship Id="rId4"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5EC5-B45F-4277-8AE1-F5E2B1EEE7D6}">
  <sheetPr>
    <tabColor theme="0" tint="-0.499984740745262"/>
  </sheetPr>
  <dimension ref="A1:B49"/>
  <sheetViews>
    <sheetView workbookViewId="0">
      <selection activeCell="A46" sqref="A46"/>
    </sheetView>
  </sheetViews>
  <sheetFormatPr defaultRowHeight="11.65" x14ac:dyDescent="0.35"/>
  <cols>
    <col min="1" max="1" width="25.1640625" customWidth="1"/>
  </cols>
  <sheetData>
    <row r="1" spans="1:1" x14ac:dyDescent="0.35">
      <c r="A1" s="7" t="s">
        <v>651</v>
      </c>
    </row>
    <row r="2" spans="1:1" x14ac:dyDescent="0.35">
      <c r="A2" s="7" t="s">
        <v>653</v>
      </c>
    </row>
    <row r="3" spans="1:1" x14ac:dyDescent="0.35">
      <c r="A3" t="s">
        <v>677</v>
      </c>
    </row>
    <row r="4" spans="1:1" x14ac:dyDescent="0.35">
      <c r="A4" t="s">
        <v>652</v>
      </c>
    </row>
    <row r="5" spans="1:1" x14ac:dyDescent="0.35">
      <c r="A5" t="s">
        <v>709</v>
      </c>
    </row>
    <row r="6" spans="1:1" x14ac:dyDescent="0.35">
      <c r="A6" t="s">
        <v>675</v>
      </c>
    </row>
    <row r="7" spans="1:1" x14ac:dyDescent="0.35">
      <c r="A7" t="s">
        <v>710</v>
      </c>
    </row>
    <row r="8" spans="1:1" x14ac:dyDescent="0.35">
      <c r="A8" t="s">
        <v>674</v>
      </c>
    </row>
    <row r="9" spans="1:1" x14ac:dyDescent="0.35">
      <c r="A9" t="s">
        <v>676</v>
      </c>
    </row>
    <row r="10" spans="1:1" x14ac:dyDescent="0.35">
      <c r="A10" t="s">
        <v>678</v>
      </c>
    </row>
    <row r="11" spans="1:1" x14ac:dyDescent="0.35">
      <c r="A11" t="s">
        <v>711</v>
      </c>
    </row>
    <row r="13" spans="1:1" x14ac:dyDescent="0.35">
      <c r="A13" s="7" t="s">
        <v>654</v>
      </c>
    </row>
    <row r="14" spans="1:1" x14ac:dyDescent="0.35">
      <c r="A14" t="s">
        <v>712</v>
      </c>
    </row>
    <row r="15" spans="1:1" x14ac:dyDescent="0.35">
      <c r="A15" t="s">
        <v>679</v>
      </c>
    </row>
    <row r="16" spans="1:1" x14ac:dyDescent="0.35">
      <c r="A16" t="s">
        <v>680</v>
      </c>
    </row>
    <row r="17" spans="1:1" x14ac:dyDescent="0.35">
      <c r="A17" t="s">
        <v>713</v>
      </c>
    </row>
    <row r="18" spans="1:1" x14ac:dyDescent="0.35">
      <c r="A18" t="s">
        <v>672</v>
      </c>
    </row>
    <row r="19" spans="1:1" x14ac:dyDescent="0.35">
      <c r="A19" t="s">
        <v>657</v>
      </c>
    </row>
    <row r="20" spans="1:1" x14ac:dyDescent="0.35">
      <c r="A20" t="s">
        <v>655</v>
      </c>
    </row>
    <row r="21" spans="1:1" x14ac:dyDescent="0.35">
      <c r="A21" t="s">
        <v>681</v>
      </c>
    </row>
    <row r="22" spans="1:1" x14ac:dyDescent="0.35">
      <c r="A22" t="s">
        <v>682</v>
      </c>
    </row>
    <row r="24" spans="1:1" x14ac:dyDescent="0.35">
      <c r="A24" s="7" t="s">
        <v>656</v>
      </c>
    </row>
    <row r="25" spans="1:1" x14ac:dyDescent="0.35">
      <c r="A25" t="s">
        <v>683</v>
      </c>
    </row>
    <row r="26" spans="1:1" x14ac:dyDescent="0.35">
      <c r="A26" t="s">
        <v>684</v>
      </c>
    </row>
    <row r="27" spans="1:1" x14ac:dyDescent="0.35">
      <c r="A27" t="s">
        <v>685</v>
      </c>
    </row>
    <row r="28" spans="1:1" x14ac:dyDescent="0.35">
      <c r="A28" t="s">
        <v>686</v>
      </c>
    </row>
    <row r="30" spans="1:1" x14ac:dyDescent="0.35">
      <c r="A30" s="7" t="s">
        <v>658</v>
      </c>
    </row>
    <row r="31" spans="1:1" x14ac:dyDescent="0.35">
      <c r="A31" t="s">
        <v>769</v>
      </c>
    </row>
    <row r="32" spans="1:1" x14ac:dyDescent="0.35">
      <c r="A32" t="s">
        <v>765</v>
      </c>
    </row>
    <row r="33" spans="1:2" x14ac:dyDescent="0.35">
      <c r="A33" t="s">
        <v>770</v>
      </c>
    </row>
    <row r="35" spans="1:2" x14ac:dyDescent="0.35">
      <c r="A35" s="7" t="s">
        <v>659</v>
      </c>
      <c r="B35" s="7" t="s">
        <v>673</v>
      </c>
    </row>
    <row r="36" spans="1:2" x14ac:dyDescent="0.35">
      <c r="A36" s="7" t="s">
        <v>660</v>
      </c>
      <c r="B36" t="s">
        <v>662</v>
      </c>
    </row>
    <row r="37" spans="1:2" x14ac:dyDescent="0.35">
      <c r="A37" s="7" t="s">
        <v>661</v>
      </c>
      <c r="B37" t="s">
        <v>663</v>
      </c>
    </row>
    <row r="38" spans="1:2" x14ac:dyDescent="0.35">
      <c r="A38" s="7" t="s">
        <v>664</v>
      </c>
      <c r="B38" t="s">
        <v>669</v>
      </c>
    </row>
    <row r="39" spans="1:2" x14ac:dyDescent="0.35">
      <c r="A39" s="7" t="s">
        <v>665</v>
      </c>
      <c r="B39" t="s">
        <v>666</v>
      </c>
    </row>
    <row r="40" spans="1:2" x14ac:dyDescent="0.35">
      <c r="A40" s="7" t="s">
        <v>224</v>
      </c>
      <c r="B40" t="s">
        <v>667</v>
      </c>
    </row>
    <row r="41" spans="1:2" x14ac:dyDescent="0.35">
      <c r="A41" s="7" t="s">
        <v>65</v>
      </c>
      <c r="B41" t="s">
        <v>668</v>
      </c>
    </row>
    <row r="42" spans="1:2" x14ac:dyDescent="0.35">
      <c r="A42" s="7" t="s">
        <v>475</v>
      </c>
      <c r="B42" t="s">
        <v>670</v>
      </c>
    </row>
    <row r="43" spans="1:2" x14ac:dyDescent="0.35">
      <c r="A43" s="7" t="s">
        <v>116</v>
      </c>
      <c r="B43" t="s">
        <v>671</v>
      </c>
    </row>
    <row r="44" spans="1:2" x14ac:dyDescent="0.35">
      <c r="A44" s="7" t="s">
        <v>301</v>
      </c>
      <c r="B44" t="s">
        <v>742</v>
      </c>
    </row>
    <row r="45" spans="1:2" x14ac:dyDescent="0.35">
      <c r="A45" s="7"/>
    </row>
    <row r="46" spans="1:2" x14ac:dyDescent="0.35">
      <c r="A46" s="7" t="s">
        <v>766</v>
      </c>
      <c r="B46" s="7" t="s">
        <v>774</v>
      </c>
    </row>
    <row r="47" spans="1:2" x14ac:dyDescent="0.35">
      <c r="A47" t="s">
        <v>767</v>
      </c>
    </row>
    <row r="48" spans="1:2" x14ac:dyDescent="0.35">
      <c r="A48" t="s">
        <v>768</v>
      </c>
    </row>
    <row r="49" spans="1:1" x14ac:dyDescent="0.35">
      <c r="A49" t="s">
        <v>772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ABAC-63A7-4386-8D27-7865C3300C6D}">
  <sheetPr>
    <tabColor theme="5"/>
  </sheetPr>
  <dimension ref="A1:N3"/>
  <sheetViews>
    <sheetView workbookViewId="0">
      <selection activeCell="F19" sqref="F19"/>
    </sheetView>
  </sheetViews>
  <sheetFormatPr defaultRowHeight="11.65" x14ac:dyDescent="0.35"/>
  <cols>
    <col min="1" max="1" width="35" bestFit="1" customWidth="1"/>
    <col min="2" max="2" width="16.83203125" bestFit="1" customWidth="1"/>
    <col min="3" max="3" width="7.25" bestFit="1" customWidth="1"/>
    <col min="4" max="4" width="8.4140625" bestFit="1" customWidth="1"/>
    <col min="5" max="5" width="14.1640625" bestFit="1" customWidth="1"/>
    <col min="6" max="6" width="9.25" bestFit="1" customWidth="1"/>
    <col min="7" max="7" width="5.58203125" bestFit="1" customWidth="1"/>
    <col min="8" max="8" width="10.83203125" bestFit="1" customWidth="1"/>
    <col min="9" max="9" width="29.1640625" bestFit="1" customWidth="1"/>
    <col min="10" max="10" width="30.58203125" bestFit="1" customWidth="1"/>
    <col min="13" max="13" width="26.25" bestFit="1" customWidth="1"/>
    <col min="14" max="14" width="23" bestFit="1" customWidth="1"/>
  </cols>
  <sheetData>
    <row r="1" spans="1:14" x14ac:dyDescent="0.35">
      <c r="A1" t="s">
        <v>37</v>
      </c>
      <c r="B1" t="s">
        <v>585</v>
      </c>
      <c r="C1" t="s">
        <v>17</v>
      </c>
      <c r="D1" t="s">
        <v>764</v>
      </c>
      <c r="E1" t="s">
        <v>23</v>
      </c>
      <c r="F1" t="s">
        <v>319</v>
      </c>
      <c r="G1" t="s">
        <v>4</v>
      </c>
      <c r="H1" t="s">
        <v>5</v>
      </c>
      <c r="I1" t="s">
        <v>587</v>
      </c>
      <c r="J1" t="s">
        <v>586</v>
      </c>
      <c r="K1" t="s">
        <v>24</v>
      </c>
      <c r="L1" t="s">
        <v>612</v>
      </c>
      <c r="M1" t="s">
        <v>624</v>
      </c>
      <c r="N1" t="s">
        <v>613</v>
      </c>
    </row>
    <row r="2" spans="1:14" x14ac:dyDescent="0.35">
      <c r="A2">
        <f ca="1">INDIRECT(Table4[[#This Row],[Tab]]&amp;"!B2")</f>
        <v>0</v>
      </c>
      <c r="B2" t="s">
        <v>664</v>
      </c>
      <c r="C2">
        <f ca="1">INDIRECT(Table4[[#This Row],[Tab]]&amp;"!B4")</f>
        <v>5</v>
      </c>
      <c r="D2">
        <f ca="1">IF(LEFT(INDIRECT(Table4[[#This Row],[Tab]]&amp;"!A1"),1)="R",INDIRECT(Table4[[#This Row],[Tab]]&amp;"!M11"),INDIRECT(Table4[[#This Row],[Tab]]&amp;"!M9"))</f>
        <v>20</v>
      </c>
      <c r="E2" t="str">
        <f ca="1">INDIRECT(Table4[[#This Row],[Tab]]&amp;"!B5")</f>
        <v>None</v>
      </c>
      <c r="F2">
        <f ca="1">IF(LEFT(INDIRECT(Table4[[#This Row],[Tab]]&amp;"!A1"),1)="R",INDIRECT(Table4[[#This Row],[Tab]]&amp;"!J14"),INDIRECT(Table4[[#This Row],[Tab]]&amp;"!J12"))</f>
        <v>0</v>
      </c>
      <c r="G2">
        <f ca="1">INDIRECT(Table4[[#This Row],[Tab]]&amp;"!O2")</f>
        <v>12</v>
      </c>
      <c r="H2">
        <f ca="1">IF(LEFT(INDIRECT(Table4[[#This Row],[Tab]]&amp;"!A1"),1)="R",INDIRECT(Table4[[#This Row],[Tab]]&amp;"!F97"),INDIRECT(Table4[[#This Row],[Tab]]&amp;"!F54"))</f>
        <v>0</v>
      </c>
      <c r="I2">
        <f ca="1">IF(LEFT(INDIRECT(Table4[[#This Row],[Tab]]&amp;"!A1"),1)="R",INDIRECT(Table4[[#This Row],[Tab]]&amp;"!B103"),INDIRECT(Table4[[#This Row],[Tab]]&amp;"!B60"))</f>
        <v>0</v>
      </c>
      <c r="J2" t="str">
        <f ca="1">INDIRECT(Table4[[#This Row],[Tab]]&amp;"!I2")</f>
        <v>Standard Design</v>
      </c>
      <c r="K2">
        <f ca="1">INDIRECT(Table4[[#This Row],[Tab]]&amp;"!B13")</f>
        <v>0</v>
      </c>
      <c r="L2">
        <f ca="1">INDIRECT(Table4[[#This Row],[Tab]]&amp;"!B9")</f>
        <v>0</v>
      </c>
      <c r="M2" t="str">
        <f ca="1">IF(LEFT(INDIRECT(Table4[[#This Row],[Tab]]&amp;"!A1"),1)="R",INDIRECT(Table4[[#This Row],[Tab]]&amp;"!K14"),INDIRECT(Table4[[#This Row],[Tab]]&amp;"!K12"))</f>
        <v>Final Endurance =  324 hours</v>
      </c>
      <c r="N2" t="str">
        <f ca="1">IF(LEFT(INDIRECT(Table4[[#This Row],[Tab]]&amp;"!A1"),1)="R",INDIRECT(Table4[[#This Row],[Tab]]&amp;"!O9"),INDIRECT(Table4[[#This Row],[Tab]]&amp;"!O8"))</f>
        <v/>
      </c>
    </row>
    <row r="3" spans="1:14" x14ac:dyDescent="0.35">
      <c r="A3">
        <f ca="1">INDIRECT(Table4[[#This Row],[Tab]]&amp;"!B2")</f>
        <v>0</v>
      </c>
      <c r="B3" t="s">
        <v>665</v>
      </c>
      <c r="C3">
        <f ca="1">INDIRECT(Table4[[#This Row],[Tab]]&amp;"!B4")</f>
        <v>0</v>
      </c>
      <c r="D3">
        <f ca="1">IF(LEFT(INDIRECT(Table4[[#This Row],[Tab]]&amp;"!A1"),1)="R",INDIRECT(Table4[[#This Row],[Tab]]&amp;"!M11"),INDIRECT(Table4[[#This Row],[Tab]]&amp;"!M9"))</f>
        <v>1</v>
      </c>
      <c r="E3" t="str">
        <f ca="1">INDIRECT(Table4[[#This Row],[Tab]]&amp;"!B5")</f>
        <v>Walker</v>
      </c>
      <c r="F3">
        <f ca="1">IF(LEFT(INDIRECT(Table4[[#This Row],[Tab]]&amp;"!A1"),1)="R",INDIRECT(Table4[[#This Row],[Tab]]&amp;"!J14"),INDIRECT(Table4[[#This Row],[Tab]]&amp;"!J12"))</f>
        <v>3</v>
      </c>
      <c r="G3">
        <f ca="1">INDIRECT(Table4[[#This Row],[Tab]]&amp;"!O2")</f>
        <v>12</v>
      </c>
      <c r="H3">
        <f ca="1">IF(LEFT(INDIRECT(Table4[[#This Row],[Tab]]&amp;"!A1"),1)="R",INDIRECT(Table4[[#This Row],[Tab]]&amp;"!F97"),INDIRECT(Table4[[#This Row],[Tab]]&amp;"!F54"))</f>
        <v>0</v>
      </c>
      <c r="I3">
        <f ca="1">IF(LEFT(INDIRECT(Table4[[#This Row],[Tab]]&amp;"!A1"),1)="R",INDIRECT(Table4[[#This Row],[Tab]]&amp;"!B103"),INDIRECT(Table4[[#This Row],[Tab]]&amp;"!B60"))</f>
        <v>0</v>
      </c>
      <c r="J3" t="str">
        <f ca="1">INDIRECT(Table4[[#This Row],[Tab]]&amp;"!I2")</f>
        <v>Standard Design</v>
      </c>
      <c r="K3">
        <f ca="1">INDIRECT(Table4[[#This Row],[Tab]]&amp;"!B13")</f>
        <v>0</v>
      </c>
      <c r="L3">
        <f ca="1">INDIRECT(Table4[[#This Row],[Tab]]&amp;"!B9")</f>
        <v>0</v>
      </c>
      <c r="M3" t="str">
        <f ca="1">IF(LEFT(INDIRECT(Table4[[#This Row],[Tab]]&amp;"!A1"),1)="R",INDIRECT(Table4[[#This Row],[Tab]]&amp;"!K14"),INDIRECT(Table4[[#This Row],[Tab]]&amp;"!K12"))</f>
        <v>Final Endurance =  108 hours</v>
      </c>
      <c r="N3" t="str">
        <f ca="1">IF(LEFT(INDIRECT(Table4[[#This Row],[Tab]]&amp;"!A1"),1)="R",INDIRECT(Table4[[#This Row],[Tab]]&amp;"!O9"),INDIRECT(Table4[[#This Row],[Tab]]&amp;"!O8"))</f>
        <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837F8-E119-45B3-9ED3-5D07A4CBC1D5}">
  <sheetPr>
    <tabColor rgb="FF92D050"/>
  </sheetPr>
  <dimension ref="A1:Z110"/>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c r="C2" s="204"/>
      <c r="D2" s="205"/>
      <c r="E2" s="36">
        <f>SUM(E5:E90)+E4</f>
        <v>20</v>
      </c>
      <c r="F2" s="206" t="s">
        <v>184</v>
      </c>
      <c r="G2" s="207"/>
      <c r="H2" s="208"/>
      <c r="I2" s="203" t="s">
        <v>776</v>
      </c>
      <c r="J2" s="204"/>
      <c r="K2" s="204"/>
      <c r="L2" s="204"/>
      <c r="M2" s="204"/>
      <c r="N2" s="79" t="s">
        <v>315</v>
      </c>
      <c r="O2" s="143">
        <v>12</v>
      </c>
      <c r="P2" s="151">
        <f>Z6</f>
        <v>900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46" t="s">
        <v>5</v>
      </c>
    </row>
    <row r="4" spans="1:26" ht="12" customHeight="1" x14ac:dyDescent="0.35">
      <c r="A4" s="91" t="s">
        <v>180</v>
      </c>
      <c r="B4" s="35">
        <v>5</v>
      </c>
      <c r="E4" s="115">
        <f>_xlfn.XLOOKUP(B4,Size[Size],Size[Base Slots],,,)</f>
        <v>16</v>
      </c>
      <c r="F4" s="38">
        <f>B4+O2</f>
        <v>17</v>
      </c>
      <c r="G4" s="215" t="s">
        <v>299</v>
      </c>
      <c r="H4" s="215"/>
      <c r="I4" s="216"/>
      <c r="J4" s="109">
        <f>_xlfn.XLOOKUP(B4,Size[Size],Size[Base hits],,,)</f>
        <v>20</v>
      </c>
      <c r="K4" s="217" t="s">
        <v>715</v>
      </c>
      <c r="L4" s="218"/>
      <c r="M4" s="53">
        <f>_xlfn.XLOOKUP(B4,Size[Size],Size[Basic Cost],,,)</f>
        <v>1000</v>
      </c>
      <c r="N4" s="12" t="str">
        <f>IF(_xlfn.XLOOKUP(B4,Size[Size],Size[Hit DM],,,)=0,"",IF(_xlfn.XLOOKUP(B4,Size[Size],Size[Hit DM],,,)&gt;0,_xlfn.CONCAT("Large (+",_xlfn.XLOOKUP(B4,Size[Size],Size[Hit DM],,,),"), "),_xlfn.CONCAT("Small (",_xlfn.XLOOKUP(B4,Size[Size],Size[Hit DM],,,),"), ")))</f>
        <v/>
      </c>
      <c r="R4" s="7" t="s">
        <v>454</v>
      </c>
    </row>
    <row r="5" spans="1:26" ht="12" customHeight="1" thickBot="1" x14ac:dyDescent="0.4">
      <c r="A5" s="90" t="s">
        <v>38</v>
      </c>
      <c r="B5" s="28" t="s">
        <v>26</v>
      </c>
      <c r="C5" s="24"/>
      <c r="D5" s="24"/>
      <c r="E5" s="115">
        <f>IF(B5="none",ROUNDUP(E4*0.25,0),"")</f>
        <v>4</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1000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f>B2</f>
        <v>0</v>
      </c>
      <c r="S6" s="144">
        <f>M11</f>
        <v>20</v>
      </c>
      <c r="T6" s="144" t="str">
        <f>B5</f>
        <v>None</v>
      </c>
      <c r="U6" s="144" t="str">
        <f>_xlfn.CONCAT(J14," m")</f>
        <v>0 m</v>
      </c>
      <c r="V6" s="145">
        <f>O2</f>
        <v>12</v>
      </c>
      <c r="W6" s="148">
        <f>P91</f>
        <v>1000</v>
      </c>
      <c r="X6" s="152">
        <f>IF(I2="Standard Design",0.1,0)</f>
        <v>0.1</v>
      </c>
      <c r="Y6" s="153">
        <v>2</v>
      </c>
      <c r="Z6" s="148">
        <f>FLOOR(P91*(1-X6),100)</f>
        <v>900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Athletics (strength) 1, Athletics (strength) 1, </v>
      </c>
      <c r="T7" s="163"/>
      <c r="U7" s="163"/>
      <c r="V7" s="163"/>
      <c r="W7" s="163"/>
      <c r="X7" s="163"/>
      <c r="Y7" s="163"/>
      <c r="Z7" s="164"/>
    </row>
    <row r="8" spans="1:26" ht="12" customHeight="1" x14ac:dyDescent="0.4">
      <c r="A8" s="93" t="s">
        <v>62</v>
      </c>
      <c r="B8" s="30" t="b">
        <v>0</v>
      </c>
      <c r="E8" s="40"/>
      <c r="F8" s="38"/>
      <c r="G8" s="178" t="s">
        <v>302</v>
      </c>
      <c r="H8" s="178"/>
      <c r="I8" s="179"/>
      <c r="J8" s="52">
        <f>_xlfn.XLOOKUP(B5,Locomotion[Locomotion],Locomotion[Endurance],,,)*(1+B8)*(IF(O2&lt;12,1,IF(O2&lt;15,1.5,2)))/IF(B4=0,24,1)</f>
        <v>324</v>
      </c>
      <c r="K8" s="211" t="s">
        <v>64</v>
      </c>
      <c r="L8" s="212"/>
      <c r="M8" s="213"/>
      <c r="P8" s="137">
        <f>B8*0.5*P5</f>
        <v>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324</v>
      </c>
      <c r="K9" s="177" t="s">
        <v>64</v>
      </c>
      <c r="L9" s="178"/>
      <c r="M9" s="179"/>
      <c r="O9" s="5" t="str">
        <f>IF(B9&gt;0,_xlfn.CONCAT("Athletics (endurance) ",B9,", "),"")</f>
        <v/>
      </c>
      <c r="P9" s="137">
        <f>-500*E9</f>
        <v>0</v>
      </c>
      <c r="R9" s="116" t="s">
        <v>49</v>
      </c>
      <c r="S9" s="162" t="str">
        <f>IF(COUNT(B19:B26)=0,"none",_xlfn.CONCAT(COUNT(B19:B26), " X (STR ",H19," DEX ",L19,")"))</f>
        <v>2 X (STR 9 DEX 7)</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324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20</v>
      </c>
      <c r="N11" s="24"/>
      <c r="O11" s="24"/>
      <c r="P11" s="136">
        <f>_xlfn.XLOOKUP(B5,Locomotion[Locomotion],Locomotion[Cost X])*50*B11</f>
        <v>0</v>
      </c>
      <c r="R11" s="119" t="s">
        <v>25</v>
      </c>
      <c r="S11" s="165" t="str">
        <f>_xlfn.CONCAT(N7,N5,N4,N15:N17,N30:N34,N36:N57,N67,N69:N70)</f>
        <v xml:space="preserve">Armour (+4),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None or Drone (INT 0)</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(basic), Visual Spectrum Sensor, Voder Speaker, Wireless Data Link, , , , , , ,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324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f>B4</f>
        <v>5</v>
      </c>
      <c r="C19" s="61">
        <f t="shared" ref="C19:C26" si="0">IF(B19=0,0,B19*2-1)</f>
        <v>9</v>
      </c>
      <c r="D19" s="96">
        <f>ROUNDUP($O$2/2+1,0)</f>
        <v>7</v>
      </c>
      <c r="E19" s="101" cm="1">
        <f t="array" ref="E19">ROUNDUP(_xlfn.IFS($B$4-B19=0,0,$B$4-B19=1,$E$4*0.05,$B$4-B19=2,$E$4*0.08,$B$4-B19=3,$E$4*0.09,$B$4-B19&gt;3,$E$4*0.1,$B$4-B19&lt;0,$E$4*0.1*($B$4-B19)),0)</f>
        <v>0</v>
      </c>
      <c r="F19" s="54">
        <f t="shared" ref="F19:F28" si="1">C19*2</f>
        <v>18</v>
      </c>
      <c r="G19" s="16"/>
      <c r="H19" s="61">
        <f t="shared" ref="H19:H28" si="2">C19+G19</f>
        <v>9</v>
      </c>
      <c r="I19" s="62">
        <f t="shared" ref="I19:I28" si="3">IF(H19&gt;17,4,IF(H19&gt;14,3,IF(H19&gt;11,2,IF(H19&gt;8,1,IF(H19&gt;5,0,IF(H19&gt;2,-1,-2))))))</f>
        <v>1</v>
      </c>
      <c r="J19" s="54">
        <f t="shared" ref="J19:J28" si="4">$O$2+3</f>
        <v>15</v>
      </c>
      <c r="K19" s="16">
        <v>0</v>
      </c>
      <c r="L19" s="61">
        <f t="shared" ref="L19:L28" si="5">D19+K19</f>
        <v>7</v>
      </c>
      <c r="M19" s="62">
        <f t="shared" ref="M19:M28" si="6">IF(L19&gt;17,4,IF(L19&gt;14,3,IF(L19&gt;11,2,IF(L19&gt;8,1,IF(L19&gt;5,0,IF(L19&gt;2,-1,-2))))))</f>
        <v>0</v>
      </c>
      <c r="O19" s="12" t="str">
        <f t="shared" ref="O19:O28" si="7">IF(I19&gt;0,_xlfn.CONCAT("Athletics (strength) ",I19,", "),"")</f>
        <v xml:space="preserve">Athletics (strength) 1, </v>
      </c>
      <c r="P19" s="137">
        <f>IF((B19-$B$4)*100&gt;-0.2*$P$5,(B19-$B$4)*100,-0.2*$P$5)+B19*100*(G19)^2+B19*200*(K19)^2</f>
        <v>0</v>
      </c>
      <c r="R19" s="7" t="s">
        <v>843</v>
      </c>
    </row>
    <row r="20" spans="1:26" ht="12" customHeight="1" x14ac:dyDescent="0.35">
      <c r="A20" s="93" t="s">
        <v>51</v>
      </c>
      <c r="B20" s="35">
        <f>B4</f>
        <v>5</v>
      </c>
      <c r="C20" s="6">
        <f t="shared" si="0"/>
        <v>9</v>
      </c>
      <c r="D20" s="97">
        <f t="shared" ref="D20:D26" si="8">IF(B20=0,0,ROUNDUP($O$2/2+1,0))</f>
        <v>7</v>
      </c>
      <c r="E20" s="101" cm="1">
        <f t="array" ref="E20">ROUNDUP(_xlfn.IFS($B$4-B20=0,0,$B$4-B20=1,$E$4*0.05,$B$4-B20=2,$E$4*0.08,$B$4-B20=3,$E$4*0.09,$B$4-B20&gt;3,$E$4*0.1,$B$4-B20&lt;0,$E$4*0.1*($B$4-B20)),0)</f>
        <v>0</v>
      </c>
      <c r="F20" s="54">
        <f t="shared" si="1"/>
        <v>18</v>
      </c>
      <c r="G20" s="16"/>
      <c r="H20" s="6">
        <f t="shared" si="2"/>
        <v>9</v>
      </c>
      <c r="I20" s="21">
        <f t="shared" si="3"/>
        <v>1</v>
      </c>
      <c r="J20" s="54">
        <f t="shared" si="4"/>
        <v>15</v>
      </c>
      <c r="K20" s="16"/>
      <c r="L20" s="6">
        <f t="shared" si="5"/>
        <v>7</v>
      </c>
      <c r="M20" s="21">
        <f t="shared" si="6"/>
        <v>0</v>
      </c>
      <c r="O20" s="5" t="str">
        <f t="shared" si="7"/>
        <v xml:space="preserve">Athletics (strength) 1, </v>
      </c>
      <c r="P20" s="137">
        <f>IF((B20-$B$4)*100&gt;-0.2*$P$5,(B20-$B$4)*100,-0.2*$P$5)+B20*100*(G20)^2+B20*200*(K20)^2</f>
        <v>0</v>
      </c>
      <c r="R20" s="188"/>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15</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15</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15</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15</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15</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15</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15</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15</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463</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7</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0</v>
      </c>
      <c r="F36" s="38">
        <f>IF(_xlfn.XLOOKUP(A36,OptionsTable[Name],OptionsTable[xS],,,)=FALSE,1,IF($B$4&gt;0,$E$4,1))</f>
        <v>1</v>
      </c>
      <c r="G36" s="58"/>
      <c r="H36" s="199" t="str">
        <f>IF(_xlfn.XLOOKUP(A36,OptionsTable[Name],OptionsTable[Notes],,,)="","",_xlfn.XLOOKUP(A36,OptionsTable[Name],OptionsTable[Notes],,,))</f>
        <v/>
      </c>
      <c r="I36" s="200"/>
      <c r="J36" s="200"/>
      <c r="K36" s="44">
        <f>_xlfn.XLOOKUP(A36,OptionsTable[Name],OptionsTable[TL],,,)</f>
        <v>0</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0</v>
      </c>
      <c r="R36" s="191"/>
      <c r="S36" s="192"/>
      <c r="T36" s="192"/>
      <c r="U36" s="192"/>
      <c r="V36" s="192"/>
      <c r="W36" s="192"/>
      <c r="X36" s="192"/>
      <c r="Y36" s="192"/>
      <c r="Z36" s="193"/>
    </row>
    <row r="37" spans="1:26" ht="12" customHeight="1" x14ac:dyDescent="0.35">
      <c r="A37" s="197"/>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0</v>
      </c>
      <c r="F37" s="38">
        <f>IF(_xlfn.XLOOKUP(A37,OptionsTable[Name],OptionsTable[xS],,,)=FALSE,1,IF($B$4&gt;0,$E$4,1))</f>
        <v>1</v>
      </c>
      <c r="G37" s="58"/>
      <c r="H37" s="199" t="str">
        <f>IF(_xlfn.XLOOKUP(A37,OptionsTable[Name],OptionsTable[Notes],,,)="","",_xlfn.XLOOKUP(A37,OptionsTable[Name],OptionsTable[Notes],,,))</f>
        <v/>
      </c>
      <c r="I37" s="200"/>
      <c r="J37" s="200"/>
      <c r="K37" s="44">
        <f>_xlfn.XLOOKUP(A37,OptionsTable[Name],OptionsTable[TL],,,)</f>
        <v>0</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0</v>
      </c>
      <c r="R37" s="191"/>
      <c r="S37" s="192"/>
      <c r="T37" s="192"/>
      <c r="U37" s="192"/>
      <c r="V37" s="192"/>
      <c r="W37" s="192"/>
      <c r="X37" s="192"/>
      <c r="Y37" s="192"/>
      <c r="Z37" s="193"/>
    </row>
    <row r="38" spans="1:26" ht="12" customHeight="1" x14ac:dyDescent="0.35">
      <c r="A38" s="197"/>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0</v>
      </c>
      <c r="F38" s="38">
        <f>IF(_xlfn.XLOOKUP(A38,OptionsTable[Name],OptionsTable[xS],,,)=FALSE,1,IF($B$4&gt;0,$E$4,1))</f>
        <v>1</v>
      </c>
      <c r="G38" s="58"/>
      <c r="H38" s="199" t="str">
        <f>IF(_xlfn.XLOOKUP(A38,OptionsTable[Name],OptionsTable[Notes],,,)="","",_xlfn.XLOOKUP(A38,OptionsTable[Name],OptionsTable[Notes],,,))</f>
        <v/>
      </c>
      <c r="I38" s="200"/>
      <c r="J38" s="200"/>
      <c r="K38" s="44">
        <f>_xlfn.XLOOKUP(A38,OptionsTable[Name],OptionsTable[TL],,,)</f>
        <v>0</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0</v>
      </c>
      <c r="R38" s="191"/>
      <c r="S38" s="192"/>
      <c r="T38" s="192"/>
      <c r="U38" s="192"/>
      <c r="V38" s="192"/>
      <c r="W38" s="192"/>
      <c r="X38" s="192"/>
      <c r="Y38" s="192"/>
      <c r="Z38" s="193"/>
    </row>
    <row r="39" spans="1:26" ht="12" customHeight="1" x14ac:dyDescent="0.35">
      <c r="A39" s="197"/>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0</v>
      </c>
      <c r="F39" s="38">
        <f>IF(_xlfn.XLOOKUP(A39,OptionsTable[Name],OptionsTable[xS],,,)=FALSE,1,IF($B$4&gt;0,$E$4,1))</f>
        <v>1</v>
      </c>
      <c r="G39" s="58"/>
      <c r="H39" s="199" t="str">
        <f>IF(_xlfn.XLOOKUP(A39,OptionsTable[Name],OptionsTable[Notes],,,)="","",_xlfn.XLOOKUP(A39,OptionsTable[Name],OptionsTable[Notes],,,))</f>
        <v/>
      </c>
      <c r="I39" s="200"/>
      <c r="J39" s="200"/>
      <c r="K39" s="44">
        <f>_xlfn.XLOOKUP(A39,OptionsTable[Name],OptionsTable[TL],,,)</f>
        <v>0</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0</v>
      </c>
      <c r="R39" s="191"/>
      <c r="S39" s="192"/>
      <c r="T39" s="192"/>
      <c r="U39" s="192"/>
      <c r="V39" s="192"/>
      <c r="W39" s="192"/>
      <c r="X39" s="192"/>
      <c r="Y39" s="192"/>
      <c r="Z39" s="193"/>
    </row>
    <row r="40" spans="1:26" ht="12" customHeight="1" x14ac:dyDescent="0.35">
      <c r="A40" s="197"/>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0</v>
      </c>
      <c r="F40" s="38">
        <f>IF(_xlfn.XLOOKUP(A40,OptionsTable[Name],OptionsTable[xS],,,)=FALSE,1,IF($B$4&gt;0,$E$4,1))</f>
        <v>1</v>
      </c>
      <c r="G40" s="58"/>
      <c r="H40" s="199" t="str">
        <f>IF(_xlfn.XLOOKUP(A40,OptionsTable[Name],OptionsTable[Notes],,,)="","",_xlfn.XLOOKUP(A40,OptionsTable[Name],OptionsTable[Notes],,,))</f>
        <v/>
      </c>
      <c r="I40" s="200"/>
      <c r="J40" s="200"/>
      <c r="K40" s="44">
        <f>_xlfn.XLOOKUP(A40,OptionsTable[Name],OptionsTable[TL],,,)</f>
        <v>0</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0</v>
      </c>
      <c r="R40" s="191"/>
      <c r="S40" s="192"/>
      <c r="T40" s="192"/>
      <c r="U40" s="192"/>
      <c r="V40" s="192"/>
      <c r="W40" s="192"/>
      <c r="X40" s="192"/>
      <c r="Y40" s="192"/>
      <c r="Z40" s="193"/>
    </row>
    <row r="41" spans="1:26" ht="12" customHeight="1" x14ac:dyDescent="0.35">
      <c r="A41" s="197"/>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v>
      </c>
      <c r="G41" s="58"/>
      <c r="H41" s="199" t="str">
        <f>IF(_xlfn.XLOOKUP(A41,OptionsTable[Name],OptionsTable[Notes],,,)="","",_xlfn.XLOOKUP(A41,OptionsTable[Name],OptionsTable[Notes],,,))</f>
        <v/>
      </c>
      <c r="I41" s="200"/>
      <c r="J41" s="200"/>
      <c r="K41" s="44">
        <f>_xlfn.XLOOKUP(A41,OptionsTable[Name],OptionsTable[TL],,,)</f>
        <v>0</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0</v>
      </c>
      <c r="R41" s="191"/>
      <c r="S41" s="192"/>
      <c r="T41" s="192"/>
      <c r="U41" s="192"/>
      <c r="V41" s="192"/>
      <c r="W41" s="192"/>
      <c r="X41" s="192"/>
      <c r="Y41" s="192"/>
      <c r="Z41" s="193"/>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220"/>
      <c r="B56" s="221"/>
      <c r="C56" s="221"/>
      <c r="D56" s="22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588</v>
      </c>
      <c r="C64" s="227"/>
      <c r="D64" s="227"/>
      <c r="E64" s="40">
        <f>IF(L64+K64-O2&gt;B4,-1,0)</f>
        <v>0</v>
      </c>
      <c r="F64" s="38"/>
      <c r="H64" s="1">
        <f>_xlfn.XLOOKUP(B64,Brains[Programming/Control],Brains[Base INT],,,)</f>
        <v>0</v>
      </c>
      <c r="I64" s="31">
        <f>IF(H64&gt;17,4,IF(H64&gt;14,3,IF(H64&gt;11,2,IF(H64&gt;8,1,IF(H64&gt;5,0,IF(H64&gt;2,-1,-2))))))</f>
        <v>-2</v>
      </c>
      <c r="J64" s="1">
        <f>_xlfn.XLOOKUP(B64,Brains[Programming/Control],Brains[Computer/X],,,)</f>
        <v>0</v>
      </c>
      <c r="K64" s="44">
        <f>_xlfn.XLOOKUP(B64,Brains[Programming/Control],Brains[TL],,,)</f>
        <v>5</v>
      </c>
      <c r="L64">
        <f>_xlfn.XLOOKUP(B64,Brains[Programming/Control],Brains[Computer/X],,,)</f>
        <v>0</v>
      </c>
      <c r="M64" s="12" t="str">
        <f>_xlfn.XLOOKUP(B64,Brains[Programming/Control],Brains[Base capability (built-in no bandwidth, cumulative)],,,)</f>
        <v>none</v>
      </c>
      <c r="N64" s="12"/>
      <c r="O64" s="12" t="str">
        <f>IF(_xlfn.XLOOKUP(B64,Brains[Programming/Control],Brains[Skill],,,)="","",_xlfn.XLOOKUP(B64,Brains[Programming/Control],Brains[Skill],,,))</f>
        <v/>
      </c>
      <c r="P64" s="137">
        <f>_xlfn.XLOOKUP(B64,Brains[Programming/Control],Brains[Cost],,,)*IF(L64&gt;2,2/(2)^(1+O2-K64),1)</f>
        <v>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0</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0</v>
      </c>
      <c r="I66" s="15">
        <f>IF(H66&gt;17,4,IF(H66&gt;14,3,IF(H66&gt;11,2,IF(H66&gt;8,1,IF(H66&gt;5,0,IF(H66&gt;2,-1,-2))))))</f>
        <v>-2</v>
      </c>
      <c r="K66" s="44"/>
      <c r="L66" s="56">
        <f>L65+F66</f>
        <v>0</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0</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777</v>
      </c>
      <c r="B72" s="64" t="s">
        <v>361</v>
      </c>
      <c r="C72" s="64"/>
      <c r="D72" s="64" t="s">
        <v>6</v>
      </c>
      <c r="E72" s="65"/>
      <c r="F72" s="65"/>
      <c r="G72" s="65" t="s">
        <v>89</v>
      </c>
      <c r="H72" s="64"/>
      <c r="I72" s="64" t="s">
        <v>314</v>
      </c>
      <c r="J72" s="78"/>
      <c r="K72" s="77" t="s">
        <v>4</v>
      </c>
      <c r="L72" s="66"/>
      <c r="M72" s="64"/>
      <c r="N72" s="64"/>
      <c r="O72" s="64" t="s">
        <v>778</v>
      </c>
      <c r="P72" s="135" t="s">
        <v>5</v>
      </c>
      <c r="R72" s="191"/>
      <c r="S72" s="192"/>
      <c r="T72" s="192"/>
      <c r="U72" s="192"/>
      <c r="V72" s="192"/>
      <c r="W72" s="192"/>
      <c r="X72" s="192"/>
      <c r="Y72" s="192"/>
      <c r="Z72" s="193"/>
    </row>
    <row r="73" spans="1:26" ht="12" customHeight="1" x14ac:dyDescent="0.35">
      <c r="A73" s="48" t="s">
        <v>117</v>
      </c>
      <c r="B73" s="228"/>
      <c r="C73" s="229"/>
      <c r="D73" s="58"/>
      <c r="E73" s="40"/>
      <c r="G73" s="59" t="str">
        <f>IF(A73="N/A","",D73+_xlfn.XLOOKUP(A73,StandardBrain[Name],StandardBrain[Bandwidth],,,))</f>
        <v/>
      </c>
      <c r="I73" s="59" t="str">
        <f>_xlfn.XLOOKUP(A73,StandardBrain[Name],StandardBrain[Characteristic],,,)</f>
        <v xml:space="preserve"> </v>
      </c>
      <c r="K73" s="44">
        <f>_xlfn.XLOOKUP(A73,StandardBrain[Name],StandardBrain[TL],,,)+D73</f>
        <v>0</v>
      </c>
      <c r="O73" s="12" t="str">
        <f>IF(_xlfn.XLOOKUP(A73,StandardBrain[Name],StandardBrain[Skill],,,)="","",_xlfn.CONCAT(_xlfn.XLOOKUP(A73,StandardBrain[Name],StandardBrain[Skill],,,),IF(RIGHT(_xlfn.XLOOKUP(A73,StandardBrain[Name],StandardBrain[Skill],,,),1)="(",B73,""),IF(RIGHT(_xlfn.XLOOKUP(A73,StandardBrain[Name],StandardBrain[Skill],,,),1)="(",")","")," ",IF(_xlfn.XLOOKUP(A73,StandardBrain[Name],StandardBrain[Characteristic],,,)="N/A","",D73+IF(_xlfn.XLOOKUP(A73,StandardBrain[Name],StandardBrain[Characteristic],,,)="INT",$I$66,$M$19)),", "))</f>
        <v/>
      </c>
      <c r="P73" s="137">
        <f>_xlfn.XLOOKUP(A73,StandardBrain[Name],StandardBrain[Cr],,,)*10^(D73)</f>
        <v>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",IF(_xlfn.XLOOKUP(A74,StandardBrain[Name],StandardBrain[Characteristic],,,)="N/A","",D74+IF(_xlfn.XLOOKUP(A74,StandardBrain[Name],StandardBrain[Characteristic],,,)="INT",$I$66,$M$19)),",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",IF(_xlfn.XLOOKUP(A75,StandardBrain[Name],StandardBrain[Characteristic],,,)="N/A","",D75+IF(_xlfn.XLOOKUP(A75,StandardBrain[Name],StandardBrain[Characteristic],,,)="INT",$I$66,$M$19)),",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",IF(_xlfn.XLOOKUP(A76,StandardBrain[Name],StandardBrain[Characteristic],,,)="N/A","",D76+IF(_xlfn.XLOOKUP(A76,StandardBrain[Name],StandardBrain[Characteristic],,,)="INT",$I$66,$M$19)),",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",IF(_xlfn.XLOOKUP(A77,StandardBrain[Name],StandardBrain[Characteristic],,,)="N/A","",D77+IF(_xlfn.XLOOKUP(A77,StandardBrain[Name],StandardBrain[Characteristic],,,)="INT",$I$66,$M$19)),",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",IF(_xlfn.XLOOKUP(A78,StandardBrain[Name],StandardBrain[Characteristic],,,)="N/A","",D78+IF(_xlfn.XLOOKUP(A78,StandardBrain[Name],StandardBrain[Characteristic],,,)="INT",$I$66,$M$19)),",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",IF(_xlfn.XLOOKUP(A79,StandardBrain[Name],StandardBrain[Characteristic],,,)="N/A","",D79+IF(_xlfn.XLOOKUP(A79,StandardBrain[Name],StandardBrain[Characteristic],,,)="INT",$I$66,$M$19)),",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",IF(_xlfn.XLOOKUP(A80,StandardBrain[Name],StandardBrain[Characteristic],,,)="N/A","",D80+IF(_xlfn.XLOOKUP(A80,StandardBrain[Name],StandardBrain[Characteristic],,,)="INT",$I$66,$M$19)),",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",IF(_xlfn.XLOOKUP(A81,StandardBrain[Name],StandardBrain[Characteristic],,,)="N/A","",D81+IF(_xlfn.XLOOKUP(A81,StandardBrain[Name],StandardBrain[Characteristic],,,)="INT",$I$66,$M$19)),",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",IF(_xlfn.XLOOKUP(A82,StandardBrain[Name],StandardBrain[Characteristic],,,)="N/A","",D82+IF(_xlfn.XLOOKUP(A82,StandardBrain[Name],StandardBrain[Characteristic],,,)="INT",$I$66,$M$19)),",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",IF(_xlfn.XLOOKUP(A83,StandardBrain[Name],StandardBrain[Characteristic],,,)="N/A","",D83+IF(_xlfn.XLOOKUP(A83,StandardBrain[Name],StandardBrain[Characteristic],,,)="INT",$I$66,$M$19)),",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",IF(_xlfn.XLOOKUP(A84,StandardBrain[Name],StandardBrain[Characteristic],,,)="N/A","",D84+IF(_xlfn.XLOOKUP(A84,StandardBrain[Name],StandardBrain[Characteristic],,,)="INT",$I$66,$M$19)),",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",IF(_xlfn.XLOOKUP(A85,StandardBrain[Name],StandardBrain[Characteristic],,,)="N/A","",D85+IF(_xlfn.XLOOKUP(A85,StandardBrain[Name],StandardBrain[Characteristic],,,)="INT",$I$66,$M$19)),",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",IF(_xlfn.XLOOKUP(A86,StandardBrain[Name],StandardBrain[Characteristic],,,)="N/A","",D86+IF(_xlfn.XLOOKUP(A86,StandardBrain[Name],StandardBrain[Characteristic],,,)="INT",$I$66,$M$19)),",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",IF(_xlfn.XLOOKUP(A87,StandardBrain[Name],StandardBrain[Characteristic],,,)="N/A","",D87+IF(_xlfn.XLOOKUP(A87,StandardBrain[Name],StandardBrain[Characteristic],,,)="INT",$I$66,$M$19)),",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",IF(_xlfn.XLOOKUP(A88,StandardBrain[Name],StandardBrain[Characteristic],,,)="N/A","",D88+IF(_xlfn.XLOOKUP(A88,StandardBrain[Name],StandardBrain[Characteristic],,,)="INT",$I$66,$M$19)),",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",IF(_xlfn.XLOOKUP(A89,StandardBrain[Name],StandardBrain[Characteristic],,,)="N/A","",D89+IF(_xlfn.XLOOKUP(A89,StandardBrain[Name],StandardBrain[Characteristic],,,)="INT",$I$66,$M$19)),",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",IF(_xlfn.XLOOKUP(A90,StandardBrain[Name],StandardBrain[Characteristic],,,)="N/A","",D90+IF(_xlfn.XLOOKUP(A90,StandardBrain[Name],StandardBrain[Characteristic],,,)="INT",$I$66,$M$19)),",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1000</v>
      </c>
    </row>
    <row r="92" spans="1:16" ht="12" customHeight="1" thickBot="1" x14ac:dyDescent="0.45">
      <c r="O92" s="149" t="str">
        <f>CONCATENATE("Cost With "&amp;X6*100 &amp; "% Discount")</f>
        <v>Cost With 10% Discount</v>
      </c>
      <c r="P92" s="147">
        <f>P2</f>
        <v>900</v>
      </c>
    </row>
    <row r="105" spans="1:5" ht="12" customHeight="1" x14ac:dyDescent="0.4">
      <c r="B105" s="114"/>
      <c r="D105" s="113"/>
      <c r="E105" s="113"/>
    </row>
    <row r="106" spans="1:5" ht="12" customHeight="1" x14ac:dyDescent="0.4">
      <c r="B106" s="114"/>
      <c r="D106" s="113"/>
      <c r="E106" s="113"/>
    </row>
    <row r="107" spans="1:5" ht="12" customHeight="1" x14ac:dyDescent="0.35">
      <c r="A107" s="7"/>
    </row>
    <row r="108" spans="1:5" ht="12" customHeight="1" x14ac:dyDescent="0.35">
      <c r="B108" s="110"/>
    </row>
    <row r="109" spans="1:5" ht="12" customHeight="1" x14ac:dyDescent="0.4">
      <c r="B109" s="111"/>
    </row>
    <row r="110" spans="1:5" ht="12" customHeight="1" x14ac:dyDescent="0.35">
      <c r="A110" s="110"/>
      <c r="B110" s="112"/>
    </row>
  </sheetData>
  <dataConsolidate/>
  <mergeCells count="113">
    <mergeCell ref="B74:C74"/>
    <mergeCell ref="B75:C75"/>
    <mergeCell ref="B76:C76"/>
    <mergeCell ref="B77:C77"/>
    <mergeCell ref="B78:C78"/>
    <mergeCell ref="B79:C79"/>
    <mergeCell ref="B64:D64"/>
    <mergeCell ref="B65:D65"/>
    <mergeCell ref="B69:D69"/>
    <mergeCell ref="B70:D70"/>
    <mergeCell ref="B71:D71"/>
    <mergeCell ref="B73:C73"/>
    <mergeCell ref="B88:C88"/>
    <mergeCell ref="B89:C89"/>
    <mergeCell ref="B90:C90"/>
    <mergeCell ref="B80:C80"/>
    <mergeCell ref="B81:C81"/>
    <mergeCell ref="B82:C82"/>
    <mergeCell ref="B83:C83"/>
    <mergeCell ref="B84:C84"/>
    <mergeCell ref="B85:C85"/>
    <mergeCell ref="B86:C86"/>
    <mergeCell ref="B87:C87"/>
    <mergeCell ref="H60:I60"/>
    <mergeCell ref="A61:D61"/>
    <mergeCell ref="H61:I61"/>
    <mergeCell ref="A55:D55"/>
    <mergeCell ref="H55:J55"/>
    <mergeCell ref="A56:D56"/>
    <mergeCell ref="H56:J56"/>
    <mergeCell ref="A57:D57"/>
    <mergeCell ref="H57:J57"/>
    <mergeCell ref="A59:D59"/>
    <mergeCell ref="H59:I59"/>
    <mergeCell ref="A60:D60"/>
    <mergeCell ref="A52:D52"/>
    <mergeCell ref="H52:J52"/>
    <mergeCell ref="A53:D53"/>
    <mergeCell ref="H53:J53"/>
    <mergeCell ref="A54:D54"/>
    <mergeCell ref="H54:J54"/>
    <mergeCell ref="A49:D49"/>
    <mergeCell ref="H49:J49"/>
    <mergeCell ref="A50:D50"/>
    <mergeCell ref="H50:J50"/>
    <mergeCell ref="A51:D51"/>
    <mergeCell ref="H51:J51"/>
    <mergeCell ref="A47:D47"/>
    <mergeCell ref="H47:J47"/>
    <mergeCell ref="A48:D48"/>
    <mergeCell ref="H48:J48"/>
    <mergeCell ref="A43:D43"/>
    <mergeCell ref="H43:J43"/>
    <mergeCell ref="A44:D44"/>
    <mergeCell ref="H44:J44"/>
    <mergeCell ref="A45:D45"/>
    <mergeCell ref="H45:J45"/>
    <mergeCell ref="A42:D42"/>
    <mergeCell ref="H42:J42"/>
    <mergeCell ref="A37:D37"/>
    <mergeCell ref="H37:J37"/>
    <mergeCell ref="A38:D38"/>
    <mergeCell ref="H38:J38"/>
    <mergeCell ref="A39:D39"/>
    <mergeCell ref="H39:J39"/>
    <mergeCell ref="A46:D46"/>
    <mergeCell ref="H46:J46"/>
    <mergeCell ref="A30:D30"/>
    <mergeCell ref="H30:J30"/>
    <mergeCell ref="A31:D31"/>
    <mergeCell ref="H31:J31"/>
    <mergeCell ref="A32:D32"/>
    <mergeCell ref="H32:J32"/>
    <mergeCell ref="A40:D40"/>
    <mergeCell ref="H40:J40"/>
    <mergeCell ref="A41:D41"/>
    <mergeCell ref="H41:J41"/>
    <mergeCell ref="B2:D2"/>
    <mergeCell ref="F2:H2"/>
    <mergeCell ref="I2:M2"/>
    <mergeCell ref="H6:N6"/>
    <mergeCell ref="G7:I7"/>
    <mergeCell ref="G8:I8"/>
    <mergeCell ref="K8:M8"/>
    <mergeCell ref="G9:I9"/>
    <mergeCell ref="G3:J3"/>
    <mergeCell ref="G4:I4"/>
    <mergeCell ref="G5:I5"/>
    <mergeCell ref="K4:L4"/>
    <mergeCell ref="R13:R17"/>
    <mergeCell ref="S7:Z7"/>
    <mergeCell ref="S8:Z8"/>
    <mergeCell ref="S9:Z9"/>
    <mergeCell ref="S10:Z10"/>
    <mergeCell ref="S11:Z11"/>
    <mergeCell ref="S12:Z12"/>
    <mergeCell ref="S13:Z17"/>
    <mergeCell ref="B29:D29"/>
    <mergeCell ref="H29:J29"/>
    <mergeCell ref="K9:M9"/>
    <mergeCell ref="G10:H10"/>
    <mergeCell ref="K10:M10"/>
    <mergeCell ref="G11:H11"/>
    <mergeCell ref="K11:L11"/>
    <mergeCell ref="G12:O12"/>
    <mergeCell ref="R20:Z75"/>
    <mergeCell ref="A33:D33"/>
    <mergeCell ref="H33:J33"/>
    <mergeCell ref="A34:D34"/>
    <mergeCell ref="H34:J34"/>
    <mergeCell ref="H35:J35"/>
    <mergeCell ref="A36:D36"/>
    <mergeCell ref="H36:J36"/>
  </mergeCells>
  <conditionalFormatting sqref="B14">
    <cfRule type="expression" dxfId="208" priority="7">
      <formula>ABS($J$14-6) &gt; 6</formula>
    </cfRule>
  </conditionalFormatting>
  <conditionalFormatting sqref="E2">
    <cfRule type="expression" dxfId="207" priority="5">
      <formula>$E$2&lt;0</formula>
    </cfRule>
  </conditionalFormatting>
  <conditionalFormatting sqref="E15:E17">
    <cfRule type="expression" dxfId="206" priority="1">
      <formula>AND($B$4=0,E15&lt;0)</formula>
    </cfRule>
  </conditionalFormatting>
  <conditionalFormatting sqref="K5 K30:K34 K36:K57 K59:K61 K64:K67 K73:K90">
    <cfRule type="expression" dxfId="205" priority="6">
      <formula>K5&gt;$O$2</formula>
    </cfRule>
  </conditionalFormatting>
  <conditionalFormatting sqref="L57">
    <cfRule type="expression" dxfId="204" priority="2">
      <formula>L57&gt;$O$2</formula>
    </cfRule>
  </conditionalFormatting>
  <conditionalFormatting sqref="L67">
    <cfRule type="expression" dxfId="203" priority="4">
      <formula>L67&lt;0</formula>
    </cfRule>
  </conditionalFormatting>
  <dataValidations count="20">
    <dataValidation type="whole" allowBlank="1" showInputMessage="1" showErrorMessage="1" error="Total Armour cannot exceed Maximum" sqref="B7" xr:uid="{3DEB5534-5858-40F9-9ACC-6802FDA4629D}">
      <formula1>-1</formula1>
      <formula2>L7-MID(A7,18,1)</formula2>
    </dataValidation>
    <dataValidation type="whole" allowBlank="1" showInputMessage="1" showErrorMessage="1" error="Max DEX = TL+3" sqref="K19:K28" xr:uid="{7F48584C-955D-4420-A7FD-5C3F87BD4620}">
      <formula1>0</formula1>
      <formula2>J19-D19</formula2>
    </dataValidation>
    <dataValidation type="whole" allowBlank="1" showInputMessage="1" showErrorMessage="1" error="Max STR = Lesser of Size + TL or SIZE X 4" sqref="G19:G28" xr:uid="{CF502707-1558-4608-A758-E4CC4C903155}">
      <formula1>0</formula1>
      <formula2>F19-C19</formula2>
    </dataValidation>
    <dataValidation type="whole" allowBlank="1" showInputMessage="1" showErrorMessage="1" sqref="E13:E14" xr:uid="{284AFF05-5A03-49E6-B2F9-C8C4F99C4D0D}">
      <formula1>0</formula1>
      <formula2>#REF!/2</formula2>
    </dataValidation>
    <dataValidation type="whole" allowBlank="1" showInputMessage="1" showErrorMessage="1" sqref="C14:D14" xr:uid="{398966E1-5A54-4A7B-B261-0C4C5FE5898E}">
      <formula1>0</formula1>
      <formula2>D15/2</formula2>
    </dataValidation>
    <dataValidation type="whole" allowBlank="1" showInputMessage="1" showErrorMessage="1" sqref="C13:D13" xr:uid="{8CDCF7D5-5008-46C4-A91F-E3836B16B3CA}">
      <formula1>0</formula1>
      <formula2>D5/2</formula2>
    </dataValidation>
    <dataValidation type="whole" allowBlank="1" showInputMessage="1" showErrorMessage="1" sqref="C11:D11" xr:uid="{27A2410C-5A33-4BF8-9F02-ED5AE152B589}">
      <formula1>0</formula1>
      <formula2>D4/2</formula2>
    </dataValidation>
    <dataValidation type="whole" allowBlank="1" showInputMessage="1" showErrorMessage="1" error="Must be whole number between -6 and +12" sqref="B14" xr:uid="{A9013696-E5BF-45C2-B6D0-2AE52CE3B1F6}">
      <formula1>-6</formula1>
      <formula2>12</formula2>
    </dataValidation>
    <dataValidation type="list" allowBlank="1" showInputMessage="1" showErrorMessage="1" sqref="B16" xr:uid="{46590DAC-1B64-47E8-A540-686BFC1AC9E5}">
      <formula1>"No,1X,2X,3X"</formula1>
    </dataValidation>
    <dataValidation type="list" allowBlank="1" showInputMessage="1" showErrorMessage="1" sqref="B15" xr:uid="{A77B7D55-552D-4543-BD07-88DA6E853BF0}">
      <formula1>"FALSE,TRUE"</formula1>
    </dataValidation>
    <dataValidation type="list" allowBlank="1" showInputMessage="1" showErrorMessage="1" sqref="D73:D90 B66" xr:uid="{E9C3BD9E-2FEA-43D0-9F85-4221FEBCEDE3}">
      <formula1>"0,1,2,3"</formula1>
    </dataValidation>
    <dataValidation type="list" allowBlank="1" showInputMessage="1" showErrorMessage="1" sqref="B13" xr:uid="{28ACDE2F-4739-451E-9A45-B89C7C69FC0A}">
      <formula1>"0,1,2,3,4"</formula1>
    </dataValidation>
    <dataValidation type="list" allowBlank="1" showInputMessage="1" showErrorMessage="1" sqref="B27:B28 B67 B8" xr:uid="{673BF486-1251-4FFF-AB1D-64D5996C6826}">
      <formula1>"TRUE,FALSE"</formula1>
    </dataValidation>
    <dataValidation type="whole" allowBlank="1" showInputMessage="1" showErrorMessage="1" error="Max Manipulator Size = Chassis Size +2_x000a_Min Manipulator Size = 0_x000a_Whole Numbers Only" sqref="B19:B26" xr:uid="{654DCC47-EBE6-4669-88CA-3B9A93A1D161}">
      <formula1>0</formula1>
      <formula2>$B$4+2</formula2>
    </dataValidation>
    <dataValidation type="list" allowBlank="1" showInputMessage="1" showErrorMessage="1" sqref="O2" xr:uid="{65761FE9-DBC4-4459-87C9-BDE424EAB0A1}">
      <formula1>"7,8,9,10,11,12,13,14,15,16,17,18"</formula1>
    </dataValidation>
    <dataValidation type="list" allowBlank="1" showInputMessage="1" showErrorMessage="1" sqref="B4" xr:uid="{38EE6CAB-2705-49F2-8AD0-8D0E3E462186}">
      <formula1>"0,1,2,3,4,5,6,7,8"</formula1>
    </dataValidation>
    <dataValidation type="list" allowBlank="1" showInputMessage="1" showErrorMessage="1" error="Maximum = 3" sqref="B9" xr:uid="{017EE581-CBDC-4167-918A-2B6BAF10F444}">
      <formula1>"0,1,2,3"</formula1>
    </dataValidation>
    <dataValidation type="whole" allowBlank="1" showInputMessage="1" showErrorMessage="1" sqref="E11" xr:uid="{B2B5EB5A-C073-43C4-9F06-CF59A4935786}">
      <formula1>0</formula1>
      <formula2>J4/2</formula2>
    </dataValidation>
    <dataValidation type="whole" allowBlank="1" showInputMessage="1" showErrorMessage="1" error="Must be whole number. No more than 50% of slots may be used for Resiliency" sqref="B10" xr:uid="{A78C3C4D-674F-4845-91ED-1B280DF29BB4}">
      <formula1>0</formula1>
      <formula2>E4/2</formula2>
    </dataValidation>
    <dataValidation type="whole" allowBlank="1" showInputMessage="1" showErrorMessage="1" error="Must be a negative number no less than a 50% of the base hits" sqref="B11" xr:uid="{9F268897-3177-4580-9996-CA304D24226E}">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927C3AFE-BB34-4390-895D-ACF60F06EAD6}">
          <x14:formula1>
            <xm:f>Brains!$K$3:$K$16</xm:f>
          </x14:formula1>
          <xm:sqref>B65</xm:sqref>
        </x14:dataValidation>
        <x14:dataValidation type="list" allowBlank="1" showInputMessage="1" showErrorMessage="1" xr:uid="{539966DA-95BB-4F17-8774-2B01D26137BC}">
          <x14:formula1>
            <xm:f>Packages!$B$23:$B$25</xm:f>
          </x14:formula1>
          <xm:sqref>B71</xm:sqref>
        </x14:dataValidation>
        <x14:dataValidation type="list" allowBlank="1" showInputMessage="1" showErrorMessage="1" xr:uid="{C0D8F162-13E4-4E72-99FD-BC665D832B2D}">
          <x14:formula1>
            <xm:f>Packages!$B$3:$B$7</xm:f>
          </x14:formula1>
          <xm:sqref>B69</xm:sqref>
        </x14:dataValidation>
        <x14:dataValidation type="list" allowBlank="1" showInputMessage="1" showErrorMessage="1" xr:uid="{19233FF2-2741-4EB9-9EB8-D7D8354DC57D}">
          <x14:formula1>
            <xm:f>Brains!$B$3:$B$19</xm:f>
          </x14:formula1>
          <xm:sqref>B64</xm:sqref>
        </x14:dataValidation>
        <x14:dataValidation type="list" allowBlank="1" showInputMessage="1" showErrorMessage="1" xr:uid="{1421E61B-C1A0-4487-AAC8-A73DB8A1025E}">
          <x14:formula1>
            <xm:f>Packages!$B$11:$B$19</xm:f>
          </x14:formula1>
          <xm:sqref>B70</xm:sqref>
        </x14:dataValidation>
        <x14:dataValidation type="list" allowBlank="1" showInputMessage="1" showErrorMessage="1" xr:uid="{33DD6C1F-2256-45F2-8AC8-C50FAD93C0D1}">
          <x14:formula1>
            <xm:f>Chassis!$H$3:$H$13</xm:f>
          </x14:formula1>
          <xm:sqref>B17 B5</xm:sqref>
        </x14:dataValidation>
        <x14:dataValidation type="list" allowBlank="1" showInputMessage="1" showErrorMessage="1" xr:uid="{E0C01C68-AA0D-4002-B540-32942E7D5EE9}">
          <x14:formula1>
            <xm:f>Packages!$B$29:$B$82</xm:f>
          </x14:formula1>
          <xm:sqref>A73:A90</xm:sqref>
        </x14:dataValidation>
        <x14:dataValidation type="list" allowBlank="1" showInputMessage="1" showErrorMessage="1" xr:uid="{603B0C81-A7B6-457B-816B-AB0FD6202906}">
          <x14:formula1>
            <xm:f>Options!$C$9:$C$71</xm:f>
          </x14:formula1>
          <xm:sqref>A30:A34</xm:sqref>
        </x14:dataValidation>
        <x14:dataValidation type="list" allowBlank="1" showInputMessage="1" showErrorMessage="1" xr:uid="{EC387D84-378A-45CB-A9EB-4D0CFD407169}">
          <x14:formula1>
            <xm:f>Options!$C$9:$C$256</xm:f>
          </x14:formula1>
          <xm:sqref>A36:A56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2128-CFBB-4739-8468-6BB5408CA71D}">
  <sheetPr>
    <tabColor rgb="FFC00000"/>
  </sheetPr>
  <dimension ref="A1:Z7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567</v>
      </c>
      <c r="O1" s="11" t="s">
        <v>823</v>
      </c>
      <c r="P1" s="155" t="s">
        <v>739</v>
      </c>
    </row>
    <row r="2" spans="1:26" ht="12" customHeight="1" thickBot="1" x14ac:dyDescent="0.4">
      <c r="A2" s="64" t="s">
        <v>37</v>
      </c>
      <c r="B2" s="203"/>
      <c r="C2" s="204"/>
      <c r="D2" s="205"/>
      <c r="E2" s="36">
        <f>SUM(E5:E47)+E4</f>
        <v>0</v>
      </c>
      <c r="F2" s="206" t="s">
        <v>184</v>
      </c>
      <c r="G2" s="207"/>
      <c r="H2" s="208"/>
      <c r="I2" s="203" t="s">
        <v>776</v>
      </c>
      <c r="J2" s="204"/>
      <c r="K2" s="204"/>
      <c r="L2" s="204"/>
      <c r="M2" s="204"/>
      <c r="N2" s="79" t="s">
        <v>315</v>
      </c>
      <c r="O2" s="143">
        <v>12</v>
      </c>
      <c r="P2" s="156">
        <f>Z6</f>
        <v>9400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46" t="s">
        <v>5</v>
      </c>
    </row>
    <row r="4" spans="1:26" ht="12" customHeight="1" x14ac:dyDescent="0.35">
      <c r="A4" s="91" t="s">
        <v>180</v>
      </c>
      <c r="B4" s="35">
        <v>0</v>
      </c>
      <c r="E4" s="115">
        <v>0</v>
      </c>
      <c r="F4" s="38">
        <f>B4+O2</f>
        <v>12</v>
      </c>
      <c r="G4" s="215" t="s">
        <v>299</v>
      </c>
      <c r="H4" s="215"/>
      <c r="I4" s="216"/>
      <c r="J4" s="109">
        <v>1</v>
      </c>
      <c r="K4" s="217" t="s">
        <v>715</v>
      </c>
      <c r="L4" s="218"/>
      <c r="M4" s="53">
        <v>50</v>
      </c>
      <c r="N4" s="12" t="s">
        <v>582</v>
      </c>
      <c r="P4" s="134"/>
      <c r="R4" s="7" t="s">
        <v>454</v>
      </c>
    </row>
    <row r="5" spans="1:26" ht="12" customHeight="1" thickBot="1" x14ac:dyDescent="0.4">
      <c r="A5" s="90" t="s">
        <v>38</v>
      </c>
      <c r="B5" s="28" t="s">
        <v>32</v>
      </c>
      <c r="C5" s="24"/>
      <c r="D5" s="24"/>
      <c r="E5" s="115" t="str">
        <f>IF(B5="none",ROUNDUP(E4*0.25,0),"")</f>
        <v/>
      </c>
      <c r="F5" s="39"/>
      <c r="G5" s="180" t="s">
        <v>298</v>
      </c>
      <c r="H5" s="180"/>
      <c r="I5" s="181"/>
      <c r="J5" s="104">
        <f>_xlfn.XLOOKUP(B5,Locomotion[Locomotion],Locomotion[Agility],,,)</f>
        <v>0</v>
      </c>
      <c r="K5" s="43">
        <f>_xlfn.XLOOKUP(B5,Locomotion[Locomotion],Locomotion[TL],,,)</f>
        <v>8</v>
      </c>
      <c r="L5" s="26" t="s">
        <v>311</v>
      </c>
      <c r="M5" s="20">
        <f>_xlfn.XLOOKUP(B5,Locomotion[Locomotion],Locomotion[Cost X])</f>
        <v>10</v>
      </c>
      <c r="N5" s="25" t="str">
        <f>IF(_xlfn.XLOOKUP(B5,Locomotion[Locomotion],Locomotion[Traits],,,)="","",_xlfn.XLOOKUP(B5,Locomotion[Locomotion],Locomotion[Traits],,,))</f>
        <v xml:space="preserve">ATV, </v>
      </c>
      <c r="O5" s="129" t="s">
        <v>714</v>
      </c>
      <c r="P5" s="136">
        <f>50*_xlfn.XLOOKUP(B5,Locomotion[Locomotion],Locomotion[Cost X])</f>
        <v>500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f>B2</f>
        <v>0</v>
      </c>
      <c r="S6" s="144">
        <f>M9</f>
        <v>1</v>
      </c>
      <c r="T6" s="144" t="str">
        <f>B5</f>
        <v>Walker</v>
      </c>
      <c r="U6" s="144" t="str">
        <f>_xlfn.CONCAT(J12," m")</f>
        <v>3 m</v>
      </c>
      <c r="V6" s="145">
        <f>O2</f>
        <v>12</v>
      </c>
      <c r="W6" s="148">
        <f>P48</f>
        <v>10520</v>
      </c>
      <c r="X6" s="152">
        <f>IF(I2="Standard Design",0.1,0)</f>
        <v>0.1</v>
      </c>
      <c r="Y6" s="153">
        <v>2</v>
      </c>
      <c r="Z6" s="148">
        <f>FLOOR(P48*(1-X6),100)</f>
        <v>9400</v>
      </c>
    </row>
    <row r="7" spans="1:26" ht="12" customHeight="1" x14ac:dyDescent="0.4">
      <c r="A7" s="92" t="s">
        <v>568</v>
      </c>
      <c r="B7" s="120"/>
      <c r="E7" s="115" cm="1">
        <f t="array" ref="E7">IF(ROUNDUP(_xlfn.XLOOKUP($O$2,Armour[TL],Armour[Slots]*B7*E4,,,),0)&lt;B7/F7,-ROUNDUP(B7/F7,0),-ROUNDUP(_xlfn.XLOOKUP($O$2,Armour[TL],Armour[Slots]*B7*E4,,,),0))</f>
        <v>0</v>
      </c>
      <c r="F7" s="38">
        <f>_xlfn.XLOOKUP($O$2,Armour[TL],Armour[Max/slot],,,)</f>
        <v>3</v>
      </c>
      <c r="G7" s="209" t="s">
        <v>183</v>
      </c>
      <c r="H7" s="209"/>
      <c r="I7" s="210"/>
      <c r="J7" s="33">
        <v>0</v>
      </c>
      <c r="K7" s="93" t="s">
        <v>313</v>
      </c>
      <c r="L7" s="52">
        <v>0</v>
      </c>
      <c r="P7" s="137" cm="1">
        <f t="array" ref="P7">IF(B7&gt;-1,_xlfn.XLOOKUP($O$2,Armour[TL],-Armour[Cost/Slot]*E7,,,),-P5*0.1)</f>
        <v>0</v>
      </c>
      <c r="R7" s="119" t="s">
        <v>90</v>
      </c>
      <c r="S7" s="162" t="str">
        <f>_xlfn.CONCAT(O8,O11,O14:O30,O33,O37:O39,O41:O47)</f>
        <v/>
      </c>
      <c r="T7" s="163"/>
      <c r="U7" s="163"/>
      <c r="V7" s="163"/>
      <c r="W7" s="163"/>
      <c r="X7" s="163"/>
      <c r="Y7" s="163"/>
      <c r="Z7" s="164"/>
    </row>
    <row r="8" spans="1:26" ht="12" customHeight="1" x14ac:dyDescent="0.4">
      <c r="A8" s="93" t="s">
        <v>62</v>
      </c>
      <c r="B8" s="30" t="b">
        <v>0</v>
      </c>
      <c r="E8" s="40"/>
      <c r="F8" s="38"/>
      <c r="G8" s="178" t="s">
        <v>302</v>
      </c>
      <c r="H8" s="178"/>
      <c r="I8" s="179"/>
      <c r="J8" s="52">
        <f>_xlfn.XLOOKUP(B5,Locomotion[Locomotion],Locomotion[Endurance],,,)*(1+B8)*(IF(O2&lt;12,1,IF(O2&lt;15,1.5,2)))</f>
        <v>108</v>
      </c>
      <c r="K8" s="211" t="s">
        <v>64</v>
      </c>
      <c r="L8" s="212"/>
      <c r="M8" s="213"/>
      <c r="O8" s="5" t="str">
        <f>IF(B4=0,"","")</f>
        <v/>
      </c>
      <c r="P8" s="137">
        <f>B8*0.5*P5</f>
        <v>0</v>
      </c>
      <c r="R8" s="116" t="s">
        <v>320</v>
      </c>
      <c r="S8" s="162" t="s">
        <v>359</v>
      </c>
      <c r="T8" s="163"/>
      <c r="U8" s="163"/>
      <c r="V8" s="163"/>
      <c r="W8" s="163"/>
      <c r="X8" s="163"/>
      <c r="Y8" s="163"/>
      <c r="Z8" s="164"/>
    </row>
    <row r="9" spans="1:26" ht="12" customHeight="1" thickBot="1" x14ac:dyDescent="0.45">
      <c r="A9" s="93" t="s">
        <v>182</v>
      </c>
      <c r="B9" s="28">
        <v>0</v>
      </c>
      <c r="C9" s="24"/>
      <c r="D9" s="24"/>
      <c r="E9" s="41"/>
      <c r="F9" s="39"/>
      <c r="G9" s="184" t="s">
        <v>317</v>
      </c>
      <c r="H9" s="185"/>
      <c r="I9" s="103" t="s">
        <v>13</v>
      </c>
      <c r="J9" s="33">
        <f>B9</f>
        <v>0</v>
      </c>
      <c r="K9" s="186" t="s">
        <v>303</v>
      </c>
      <c r="L9" s="187"/>
      <c r="M9" s="34">
        <v>1</v>
      </c>
      <c r="N9" s="24"/>
      <c r="O9" s="24"/>
      <c r="P9" s="136">
        <f>_xlfn.XLOOKUP(B5,Locomotion[Locomotion],Locomotion[Cost X])*50*B9</f>
        <v>0</v>
      </c>
      <c r="R9" s="116" t="s">
        <v>49</v>
      </c>
      <c r="S9" s="162"/>
      <c r="T9" s="163"/>
      <c r="U9" s="163"/>
      <c r="V9" s="163"/>
      <c r="W9" s="163"/>
      <c r="X9" s="163"/>
      <c r="Y9" s="163"/>
      <c r="Z9" s="164"/>
    </row>
    <row r="10" spans="1:26" ht="12" customHeight="1" thickBot="1" x14ac:dyDescent="0.45">
      <c r="A10" s="64" t="s">
        <v>186</v>
      </c>
      <c r="B10" s="72"/>
      <c r="C10" s="63"/>
      <c r="D10" s="63"/>
      <c r="E10" s="65" t="s">
        <v>10</v>
      </c>
      <c r="F10" s="39"/>
      <c r="G10" s="171"/>
      <c r="H10" s="172"/>
      <c r="I10" s="172"/>
      <c r="J10" s="172"/>
      <c r="K10" s="172"/>
      <c r="L10" s="172"/>
      <c r="M10" s="172"/>
      <c r="N10" s="172"/>
      <c r="O10" s="173"/>
      <c r="P10" s="135" t="s">
        <v>5</v>
      </c>
      <c r="R10" s="119" t="s">
        <v>35</v>
      </c>
      <c r="S10" s="165" t="str">
        <f>_xlfn.CONCAT(ROUND(J8*(1-B12/10),0)," hours")</f>
        <v>108 hours</v>
      </c>
      <c r="T10" s="166"/>
      <c r="U10" s="166"/>
      <c r="V10" s="166"/>
      <c r="W10" s="166"/>
      <c r="X10" s="166"/>
      <c r="Y10" s="166"/>
      <c r="Z10" s="167"/>
    </row>
    <row r="11" spans="1:26" ht="12" customHeight="1" x14ac:dyDescent="0.4">
      <c r="A11" s="92" t="s">
        <v>177</v>
      </c>
      <c r="B11" s="30">
        <v>0</v>
      </c>
      <c r="E11" s="40"/>
      <c r="F11" s="38"/>
      <c r="G11" s="93" t="s">
        <v>305</v>
      </c>
      <c r="H11" s="93"/>
      <c r="I11" s="93"/>
      <c r="J11" s="33">
        <f>IF(J5="-","-",J5+B11)</f>
        <v>0</v>
      </c>
      <c r="L11" s="11"/>
      <c r="O11" s="5" t="str">
        <f>IF(B11=0,"",_xlfn.CONCAT("Athletics (dexterity) ",B11,", "))</f>
        <v/>
      </c>
      <c r="P11" s="137">
        <f>IF(B11=0,0,P5*2^(B11-1))</f>
        <v>0</v>
      </c>
      <c r="R11" s="119" t="s">
        <v>25</v>
      </c>
      <c r="S11" s="165" t="str">
        <f>_xlfn.CONCAT(N5,N4,N14:N30,N35,N37:N38)</f>
        <v xml:space="preserve">ATV, Small (-4), </v>
      </c>
      <c r="T11" s="166"/>
      <c r="U11" s="166"/>
      <c r="V11" s="166"/>
      <c r="W11" s="166"/>
      <c r="X11" s="166"/>
      <c r="Y11" s="166"/>
      <c r="Z11" s="167"/>
    </row>
    <row r="12" spans="1:26" ht="12" customHeight="1" thickBot="1" x14ac:dyDescent="0.45">
      <c r="A12" s="93" t="s">
        <v>300</v>
      </c>
      <c r="B12" s="29"/>
      <c r="E12" s="40"/>
      <c r="F12" s="38"/>
      <c r="G12" s="93" t="s">
        <v>306</v>
      </c>
      <c r="H12" s="93"/>
      <c r="I12" s="93"/>
      <c r="J12" s="52">
        <f>IF(B5="None",0,ROUNDUP((5+J5)/2+B12,0))</f>
        <v>3</v>
      </c>
      <c r="K12" s="32" t="str">
        <f>_xlfn.CONCAT("Final Endurance =  ",ROUND(J8*(1-B12/10),0)," hours")</f>
        <v>Final Endurance =  108 hours</v>
      </c>
      <c r="L12" s="5"/>
      <c r="M12" s="5"/>
      <c r="N12" s="5"/>
      <c r="P12" s="137">
        <f>B12*0.5*P5</f>
        <v>0</v>
      </c>
      <c r="R12" s="116" t="s">
        <v>321</v>
      </c>
      <c r="S12" s="162" t="str">
        <f>_xlfn.CONCAT(_xlfn.IFS(LEFT(B33,1)="N",B33,LEFT(B33,1)="P",B37,LEFT(B33,1)="B",B38,LEFT(B33,1)="H",B39,LEFT(B33,1)="A","Advanced",LEFT(B33,1)="V","Very Advanced",LEFT(B33,1)="S","Self-aware",LEFT(B33,1)="C","Conscious")," (INT ",H34,")")</f>
        <v>Advanced (INT 6)</v>
      </c>
      <c r="T12" s="163"/>
      <c r="U12" s="163"/>
      <c r="V12" s="163"/>
      <c r="W12" s="163"/>
      <c r="X12" s="163"/>
      <c r="Y12" s="163"/>
      <c r="Z12" s="164"/>
    </row>
    <row r="13" spans="1:26" ht="12" customHeight="1" thickBot="1" x14ac:dyDescent="0.4">
      <c r="A13" s="64" t="s">
        <v>571</v>
      </c>
      <c r="B13" s="171"/>
      <c r="C13" s="172"/>
      <c r="D13" s="173"/>
      <c r="E13" s="72" t="s">
        <v>10</v>
      </c>
      <c r="F13" s="67" t="s">
        <v>97</v>
      </c>
      <c r="G13" s="64"/>
      <c r="H13" s="174" t="s">
        <v>301</v>
      </c>
      <c r="I13" s="175"/>
      <c r="J13" s="176"/>
      <c r="K13" s="77" t="s">
        <v>4</v>
      </c>
      <c r="L13" s="66"/>
      <c r="M13" s="71"/>
      <c r="N13" s="66" t="s">
        <v>25</v>
      </c>
      <c r="O13" s="64" t="s">
        <v>90</v>
      </c>
      <c r="P13" s="135" t="s">
        <v>5</v>
      </c>
      <c r="R13" s="159" t="s">
        <v>475</v>
      </c>
      <c r="S13" s="168" t="str">
        <f>_xlfn.CONCAT(A14,", ",A15,", ",A16,", ",A17,", ",A18,", ",A19,", ",A20,", ",A21,", ",A22,", ",A23,", ",A24,", ",A25,", ",A26,", ",A27,", ",A28,", ",A29,", ",A30)</f>
        <v xml:space="preserve">Microbot Manipulator, Microbot Manipulator, , , , , , , , , , , , , , , </v>
      </c>
      <c r="T13" s="169"/>
      <c r="U13" s="169"/>
      <c r="V13" s="169"/>
      <c r="W13" s="169"/>
      <c r="X13" s="169"/>
      <c r="Y13" s="169"/>
      <c r="Z13" s="170"/>
    </row>
    <row r="14" spans="1:26" ht="12" customHeight="1" x14ac:dyDescent="0.35">
      <c r="A14" s="197" t="s">
        <v>570</v>
      </c>
      <c r="B14" s="198"/>
      <c r="C14" s="198"/>
      <c r="D14" s="198"/>
      <c r="E14" s="101">
        <f>_xlfn.XLOOKUP(A14,OptionsTable[Name],OptionsTable[Slots],,,)</f>
        <v>0</v>
      </c>
      <c r="F14" s="38">
        <f>IF(_xlfn.XLOOKUP(A14,OptionsTable[Name],OptionsTable[xS],,,)=FALSE,1,0.5)</f>
        <v>1</v>
      </c>
      <c r="G14" s="38"/>
      <c r="H14" s="199" t="str">
        <f>IF(_xlfn.XLOOKUP(A14,OptionsTable[Name],OptionsTable[Notes],,,)="","",_xlfn.XLOOKUP(A14,OptionsTable[Name],OptionsTable[Notes],,,))</f>
        <v/>
      </c>
      <c r="I14" s="200"/>
      <c r="J14" s="200"/>
      <c r="K14" s="44">
        <f>_xlfn.XLOOKUP(A14,OptionsTable[Name],OptionsTable[TL],,,)</f>
        <v>8</v>
      </c>
      <c r="N14" s="5" t="str">
        <f>IF(_xlfn.XLOOKUP(A14,OptionsTable[Name],OptionsTable[Trait],,,)="","",_xlfn.XLOOKUP(A14,OptionsTable[Name],OptionsTable[Trait],,,))</f>
        <v/>
      </c>
      <c r="O14" s="5" t="str">
        <f>IF(_xlfn.XLOOKUP(A14,OptionsTable[Name],OptionsTable[Skill],,,)="","",_xlfn.XLOOKUP(A14,OptionsTable[Name],OptionsTable[Skill],,,))</f>
        <v/>
      </c>
      <c r="P14" s="137">
        <f>_xlfn.XLOOKUP(A14,OptionsTable[Name],OptionsTable[Cost],,,)*F14</f>
        <v>10</v>
      </c>
      <c r="R14" s="160"/>
      <c r="S14" s="168"/>
      <c r="T14" s="169"/>
      <c r="U14" s="169"/>
      <c r="V14" s="169"/>
      <c r="W14" s="169"/>
      <c r="X14" s="169"/>
      <c r="Y14" s="169"/>
      <c r="Z14" s="170"/>
    </row>
    <row r="15" spans="1:26" ht="12" customHeight="1" x14ac:dyDescent="0.35">
      <c r="A15" s="197" t="s">
        <v>570</v>
      </c>
      <c r="B15" s="198"/>
      <c r="C15" s="198"/>
      <c r="D15" s="198"/>
      <c r="E15" s="101">
        <f>_xlfn.XLOOKUP(A15,OptionsTable[Name],OptionsTable[Slots],,,)</f>
        <v>0</v>
      </c>
      <c r="F15" s="38">
        <f>IF(_xlfn.XLOOKUP(A15,OptionsTable[Name],OptionsTable[xS],,,)=FALSE,1,0.5)</f>
        <v>1</v>
      </c>
      <c r="G15" s="38"/>
      <c r="H15" s="199" t="str">
        <f>IF(_xlfn.XLOOKUP(A15,OptionsTable[Name],OptionsTable[Notes],,,)="","",_xlfn.XLOOKUP(A15,OptionsTable[Name],OptionsTable[Notes],,,))</f>
        <v/>
      </c>
      <c r="I15" s="200"/>
      <c r="J15" s="200"/>
      <c r="K15" s="44">
        <f>_xlfn.XLOOKUP(A15,OptionsTable[Name],OptionsTable[TL],,,)</f>
        <v>8</v>
      </c>
      <c r="N15" s="5" t="str">
        <f>IF(_xlfn.XLOOKUP(A15,OptionsTable[Name],OptionsTable[Trait],,,)="","",_xlfn.XLOOKUP(A15,OptionsTable[Name],OptionsTable[Trait],,,))</f>
        <v/>
      </c>
      <c r="O15" s="5" t="str">
        <f>IF(_xlfn.XLOOKUP(A15,OptionsTable[Name],OptionsTable[Skill],,,)="","",_xlfn.XLOOKUP(A15,OptionsTable[Name],OptionsTable[Skill],,,))</f>
        <v/>
      </c>
      <c r="P15" s="137">
        <f>_xlfn.XLOOKUP(A15,OptionsTable[Name],OptionsTable[Cost],,,)*F15</f>
        <v>10</v>
      </c>
      <c r="R15" s="160"/>
      <c r="S15" s="168"/>
      <c r="T15" s="169"/>
      <c r="U15" s="169"/>
      <c r="V15" s="169"/>
      <c r="W15" s="169"/>
      <c r="X15" s="169"/>
      <c r="Y15" s="169"/>
      <c r="Z15" s="170"/>
    </row>
    <row r="16" spans="1:26" ht="12" customHeight="1" x14ac:dyDescent="0.35">
      <c r="A16" s="197"/>
      <c r="B16" s="198"/>
      <c r="C16" s="198"/>
      <c r="D16" s="198"/>
      <c r="E16" s="101">
        <f>_xlfn.XLOOKUP(A16,OptionsTable[Name],OptionsTable[Slots],,,)</f>
        <v>0</v>
      </c>
      <c r="F16" s="38">
        <f>IF(_xlfn.XLOOKUP(A16,OptionsTable[Name],OptionsTable[xS],,,)=FALSE,1,0.5)</f>
        <v>1</v>
      </c>
      <c r="G16" s="38"/>
      <c r="H16" s="199" t="str">
        <f>IF(_xlfn.XLOOKUP(A16,OptionsTable[Name],OptionsTable[Notes],,,)="","",_xlfn.XLOOKUP(A16,OptionsTable[Name],OptionsTable[Notes],,,))</f>
        <v/>
      </c>
      <c r="I16" s="200"/>
      <c r="J16" s="200"/>
      <c r="K16" s="44">
        <f>_xlfn.XLOOKUP(A16,OptionsTable[Name],OptionsTable[TL],,,)</f>
        <v>0</v>
      </c>
      <c r="N16" s="5" t="str">
        <f>IF(_xlfn.XLOOKUP(A16,OptionsTable[Name],OptionsTable[Trait],,,)="","",_xlfn.XLOOKUP(A16,OptionsTable[Name],OptionsTable[Trait],,,))</f>
        <v/>
      </c>
      <c r="O16" s="5" t="str">
        <f>IF(_xlfn.XLOOKUP(A16,OptionsTable[Name],OptionsTable[Skill],,,)="","",_xlfn.XLOOKUP(A16,OptionsTable[Name],OptionsTable[Skill],,,))</f>
        <v/>
      </c>
      <c r="P16" s="137">
        <f>_xlfn.XLOOKUP(A16,OptionsTable[Name],OptionsTable[Cost],,,)*F16</f>
        <v>0</v>
      </c>
      <c r="R16" s="160"/>
      <c r="S16" s="168"/>
      <c r="T16" s="169"/>
      <c r="U16" s="169"/>
      <c r="V16" s="169"/>
      <c r="W16" s="169"/>
      <c r="X16" s="169"/>
      <c r="Y16" s="169"/>
      <c r="Z16" s="170"/>
    </row>
    <row r="17" spans="1:26" ht="12" customHeight="1" x14ac:dyDescent="0.35">
      <c r="A17" s="197"/>
      <c r="B17" s="198"/>
      <c r="C17" s="198"/>
      <c r="D17" s="198"/>
      <c r="E17" s="101">
        <f>_xlfn.XLOOKUP(A17,OptionsTable[Name],OptionsTable[Slots],,,)</f>
        <v>0</v>
      </c>
      <c r="F17" s="38">
        <f>IF(_xlfn.XLOOKUP(A17,OptionsTable[Name],OptionsTable[xS],,,)=FALSE,1,0.5)</f>
        <v>1</v>
      </c>
      <c r="G17" s="38"/>
      <c r="H17" s="199" t="str">
        <f>IF(_xlfn.XLOOKUP(A17,OptionsTable[Name],OptionsTable[Notes],,,)="","",_xlfn.XLOOKUP(A17,OptionsTable[Name],OptionsTable[Notes],,,))</f>
        <v/>
      </c>
      <c r="I17" s="200"/>
      <c r="J17" s="200"/>
      <c r="K17" s="44">
        <f>_xlfn.XLOOKUP(A17,OptionsTable[Name],OptionsTable[TL],,,)</f>
        <v>0</v>
      </c>
      <c r="N17" s="5" t="str">
        <f>IF(_xlfn.XLOOKUP(A17,OptionsTable[Name],OptionsTable[Trait],,,)="","",_xlfn.XLOOKUP(A17,OptionsTable[Name],OptionsTable[Trait],,,))</f>
        <v/>
      </c>
      <c r="O17" s="5" t="str">
        <f>IF(_xlfn.XLOOKUP(A17,OptionsTable[Name],OptionsTable[Skill],,,)="","",_xlfn.XLOOKUP(A17,OptionsTable[Name],OptionsTable[Skill],,,))</f>
        <v/>
      </c>
      <c r="P17" s="137">
        <f>_xlfn.XLOOKUP(A17,OptionsTable[Name],OptionsTable[Cost],,,)*F17</f>
        <v>0</v>
      </c>
      <c r="R17" s="161"/>
      <c r="S17" s="168"/>
      <c r="T17" s="169"/>
      <c r="U17" s="169"/>
      <c r="V17" s="169"/>
      <c r="W17" s="169"/>
      <c r="X17" s="169"/>
      <c r="Y17" s="169"/>
      <c r="Z17" s="170"/>
    </row>
    <row r="18" spans="1:26" ht="12" customHeight="1" x14ac:dyDescent="0.35">
      <c r="A18" s="197"/>
      <c r="B18" s="198"/>
      <c r="C18" s="198"/>
      <c r="D18" s="198"/>
      <c r="E18" s="101">
        <f>_xlfn.XLOOKUP(A18,OptionsTable[Name],OptionsTable[Slots],,,)</f>
        <v>0</v>
      </c>
      <c r="F18" s="38">
        <f>IF(_xlfn.XLOOKUP(A18,OptionsTable[Name],OptionsTable[xS],,,)=FALSE,1,0.5)</f>
        <v>1</v>
      </c>
      <c r="G18" s="38"/>
      <c r="H18" s="199" t="str">
        <f>IF(_xlfn.XLOOKUP(A18,OptionsTable[Name],OptionsTable[Notes],,,)="","",_xlfn.XLOOKUP(A18,OptionsTable[Name],OptionsTable[Notes],,,))</f>
        <v/>
      </c>
      <c r="I18" s="200"/>
      <c r="J18" s="200"/>
      <c r="K18" s="44">
        <f>_xlfn.XLOOKUP(A18,OptionsTable[Name],OptionsTable[TL],,,)</f>
        <v>0</v>
      </c>
      <c r="N18" s="5" t="str">
        <f>IF(_xlfn.XLOOKUP(A18,OptionsTable[Name],OptionsTable[Trait],,,)="","",_xlfn.XLOOKUP(A18,OptionsTable[Name],OptionsTable[Trait],,,))</f>
        <v/>
      </c>
      <c r="O18" s="5" t="str">
        <f>IF(_xlfn.XLOOKUP(A18,OptionsTable[Name],OptionsTable[Skill],,,)="","",_xlfn.XLOOKUP(A18,OptionsTable[Name],OptionsTable[Skill],,,))</f>
        <v/>
      </c>
      <c r="P18" s="137">
        <f>_xlfn.XLOOKUP(A18,OptionsTable[Name],OptionsTable[Cost],,,)*F18</f>
        <v>0</v>
      </c>
    </row>
    <row r="19" spans="1:26" ht="12" customHeight="1" x14ac:dyDescent="0.35">
      <c r="A19" s="197"/>
      <c r="B19" s="198"/>
      <c r="C19" s="198"/>
      <c r="D19" s="198"/>
      <c r="E19" s="101">
        <f>_xlfn.XLOOKUP(A19,OptionsTable[Name],OptionsTable[Slots],,,)</f>
        <v>0</v>
      </c>
      <c r="F19" s="38">
        <f>IF(_xlfn.XLOOKUP(A19,OptionsTable[Name],OptionsTable[xS],,,)=FALSE,1,0.5)</f>
        <v>1</v>
      </c>
      <c r="G19" s="38"/>
      <c r="H19" s="199" t="str">
        <f>IF(_xlfn.XLOOKUP(A19,OptionsTable[Name],OptionsTable[Notes],,,)="","",_xlfn.XLOOKUP(A19,OptionsTable[Name],OptionsTable[Notes],,,))</f>
        <v/>
      </c>
      <c r="I19" s="200"/>
      <c r="J19" s="200"/>
      <c r="K19" s="44">
        <f>_xlfn.XLOOKUP(A19,OptionsTable[Name],OptionsTable[TL],,,)</f>
        <v>0</v>
      </c>
      <c r="N19" s="5" t="str">
        <f>IF(_xlfn.XLOOKUP(A19,OptionsTable[Name],OptionsTable[Trait],,,)="","",_xlfn.XLOOKUP(A19,OptionsTable[Name],OptionsTable[Trait],,,))</f>
        <v/>
      </c>
      <c r="O19" s="5" t="str">
        <f>IF(_xlfn.XLOOKUP(A19,OptionsTable[Name],OptionsTable[Skill],,,)="","",_xlfn.XLOOKUP(A19,OptionsTable[Name],OptionsTable[Skill],,,))</f>
        <v/>
      </c>
      <c r="P19" s="137">
        <f>_xlfn.XLOOKUP(A19,OptionsTable[Name],OptionsTable[Cost],,,)*F19</f>
        <v>0</v>
      </c>
      <c r="R19" s="7" t="s">
        <v>843</v>
      </c>
    </row>
    <row r="20" spans="1:26" ht="12" customHeight="1" x14ac:dyDescent="0.35">
      <c r="A20" s="197"/>
      <c r="B20" s="198"/>
      <c r="C20" s="198"/>
      <c r="D20" s="198"/>
      <c r="E20" s="101">
        <f>_xlfn.XLOOKUP(A20,OptionsTable[Name],OptionsTable[Slots],,,)</f>
        <v>0</v>
      </c>
      <c r="F20" s="38">
        <f>IF(_xlfn.XLOOKUP(A20,OptionsTable[Name],OptionsTable[xS],,,)=FALSE,1,0.5)</f>
        <v>1</v>
      </c>
      <c r="G20" s="38"/>
      <c r="H20" s="199" t="str">
        <f>IF(_xlfn.XLOOKUP(A20,OptionsTable[Name],OptionsTable[Notes],,,)="","",_xlfn.XLOOKUP(A20,OptionsTable[Name],OptionsTable[Notes],,,))</f>
        <v/>
      </c>
      <c r="I20" s="200"/>
      <c r="J20" s="200"/>
      <c r="K20" s="44">
        <f>_xlfn.XLOOKUP(A20,OptionsTable[Name],OptionsTable[TL],,,)</f>
        <v>0</v>
      </c>
      <c r="N20" s="5" t="str">
        <f>IF(_xlfn.XLOOKUP(A20,OptionsTable[Name],OptionsTable[Trait],,,)="","",_xlfn.XLOOKUP(A20,OptionsTable[Name],OptionsTable[Trait],,,))</f>
        <v/>
      </c>
      <c r="O20" s="5" t="str">
        <f>IF(_xlfn.XLOOKUP(A20,OptionsTable[Name],OptionsTable[Skill],,,)="","",_xlfn.XLOOKUP(A20,OptionsTable[Name],OptionsTable[Skill],,,))</f>
        <v/>
      </c>
      <c r="P20" s="137">
        <f>_xlfn.XLOOKUP(A20,OptionsTable[Name],OptionsTable[Cost],,,)*F20</f>
        <v>0</v>
      </c>
      <c r="R20" s="188"/>
      <c r="S20" s="189"/>
      <c r="T20" s="189"/>
      <c r="U20" s="189"/>
      <c r="V20" s="189"/>
      <c r="W20" s="189"/>
      <c r="X20" s="189"/>
      <c r="Y20" s="189"/>
      <c r="Z20" s="190"/>
    </row>
    <row r="21" spans="1:26" ht="12" customHeight="1" x14ac:dyDescent="0.35">
      <c r="A21" s="197"/>
      <c r="B21" s="198"/>
      <c r="C21" s="198"/>
      <c r="D21" s="198"/>
      <c r="E21" s="101">
        <f>_xlfn.XLOOKUP(A21,OptionsTable[Name],OptionsTable[Slots],,,)</f>
        <v>0</v>
      </c>
      <c r="F21" s="38">
        <f>IF(_xlfn.XLOOKUP(A21,OptionsTable[Name],OptionsTable[xS],,,)=FALSE,1,0.5)</f>
        <v>1</v>
      </c>
      <c r="G21" s="38"/>
      <c r="H21" s="199" t="str">
        <f>IF(_xlfn.XLOOKUP(A21,OptionsTable[Name],OptionsTable[Notes],,,)="","",_xlfn.XLOOKUP(A21,OptionsTable[Name],OptionsTable[Notes],,,))</f>
        <v/>
      </c>
      <c r="I21" s="200"/>
      <c r="J21" s="200"/>
      <c r="K21" s="44">
        <f>_xlfn.XLOOKUP(A21,OptionsTable[Name],OptionsTable[TL],,,)</f>
        <v>0</v>
      </c>
      <c r="N21" s="5" t="str">
        <f>IF(_xlfn.XLOOKUP(A21,OptionsTable[Name],OptionsTable[Trait],,,)="","",_xlfn.XLOOKUP(A21,OptionsTable[Name],OptionsTable[Trait],,,))</f>
        <v/>
      </c>
      <c r="O21" s="5" t="str">
        <f>IF(_xlfn.XLOOKUP(A21,OptionsTable[Name],OptionsTable[Skill],,,)="","",_xlfn.XLOOKUP(A21,OptionsTable[Name],OptionsTable[Skill],,,))</f>
        <v/>
      </c>
      <c r="P21" s="137">
        <f>_xlfn.XLOOKUP(A21,OptionsTable[Name],OptionsTable[Cost],,,)*F21</f>
        <v>0</v>
      </c>
      <c r="R21" s="191"/>
      <c r="S21" s="192"/>
      <c r="T21" s="192"/>
      <c r="U21" s="192"/>
      <c r="V21" s="192"/>
      <c r="W21" s="192"/>
      <c r="X21" s="192"/>
      <c r="Y21" s="192"/>
      <c r="Z21" s="193"/>
    </row>
    <row r="22" spans="1:26" ht="12" customHeight="1" x14ac:dyDescent="0.35">
      <c r="A22" s="197"/>
      <c r="B22" s="198"/>
      <c r="C22" s="198"/>
      <c r="D22" s="198"/>
      <c r="E22" s="101">
        <f>_xlfn.XLOOKUP(A22,OptionsTable[Name],OptionsTable[Slots],,,)</f>
        <v>0</v>
      </c>
      <c r="F22" s="38">
        <f>IF(_xlfn.XLOOKUP(A22,OptionsTable[Name],OptionsTable[xS],,,)=FALSE,1,0.5)</f>
        <v>1</v>
      </c>
      <c r="G22" s="38"/>
      <c r="H22" s="199" t="str">
        <f>IF(_xlfn.XLOOKUP(A22,OptionsTable[Name],OptionsTable[Notes],,,)="","",_xlfn.XLOOKUP(A22,OptionsTable[Name],OptionsTable[Notes],,,))</f>
        <v/>
      </c>
      <c r="I22" s="200"/>
      <c r="J22" s="200"/>
      <c r="K22" s="44">
        <f>_xlfn.XLOOKUP(A22,OptionsTable[Name],OptionsTable[TL],,,)</f>
        <v>0</v>
      </c>
      <c r="N22" s="5" t="str">
        <f>IF(_xlfn.XLOOKUP(A22,OptionsTable[Name],OptionsTable[Trait],,,)="","",_xlfn.XLOOKUP(A22,OptionsTable[Name],OptionsTable[Trait],,,))</f>
        <v/>
      </c>
      <c r="O22" s="5" t="str">
        <f>IF(_xlfn.XLOOKUP(A22,OptionsTable[Name],OptionsTable[Skill],,,)="","",_xlfn.XLOOKUP(A22,OptionsTable[Name],OptionsTable[Skill],,,))</f>
        <v/>
      </c>
      <c r="P22" s="137">
        <f>_xlfn.XLOOKUP(A22,OptionsTable[Name],OptionsTable[Cost],,,)*F22</f>
        <v>0</v>
      </c>
      <c r="R22" s="191"/>
      <c r="S22" s="192"/>
      <c r="T22" s="192"/>
      <c r="U22" s="192"/>
      <c r="V22" s="192"/>
      <c r="W22" s="192"/>
      <c r="X22" s="192"/>
      <c r="Y22" s="192"/>
      <c r="Z22" s="193"/>
    </row>
    <row r="23" spans="1:26" ht="12" customHeight="1" x14ac:dyDescent="0.35">
      <c r="A23" s="197"/>
      <c r="B23" s="198"/>
      <c r="C23" s="198"/>
      <c r="D23" s="198"/>
      <c r="E23" s="101">
        <f>_xlfn.XLOOKUP(A23,OptionsTable[Name],OptionsTable[Slots],,,)</f>
        <v>0</v>
      </c>
      <c r="F23" s="38">
        <f>IF(_xlfn.XLOOKUP(A23,OptionsTable[Name],OptionsTable[xS],,,)=FALSE,1,0.5)</f>
        <v>1</v>
      </c>
      <c r="G23" s="38"/>
      <c r="H23" s="199" t="str">
        <f>IF(_xlfn.XLOOKUP(A23,OptionsTable[Name],OptionsTable[Notes],,,)="","",_xlfn.XLOOKUP(A23,OptionsTable[Name],OptionsTable[Notes],,,))</f>
        <v/>
      </c>
      <c r="I23" s="200"/>
      <c r="J23" s="200"/>
      <c r="K23" s="44">
        <f>_xlfn.XLOOKUP(A23,OptionsTable[Name],OptionsTable[TL],,,)</f>
        <v>0</v>
      </c>
      <c r="N23" s="5" t="str">
        <f>IF(_xlfn.XLOOKUP(A23,OptionsTable[Name],OptionsTable[Trait],,,)="","",_xlfn.XLOOKUP(A23,OptionsTable[Name],OptionsTable[Trait],,,))</f>
        <v/>
      </c>
      <c r="O23" s="5" t="str">
        <f>IF(_xlfn.XLOOKUP(A23,OptionsTable[Name],OptionsTable[Skill],,,)="","",_xlfn.XLOOKUP(A23,OptionsTable[Name],OptionsTable[Skill],,,))</f>
        <v/>
      </c>
      <c r="P23" s="137">
        <f>_xlfn.XLOOKUP(A23,OptionsTable[Name],OptionsTable[Cost],,,)*F23</f>
        <v>0</v>
      </c>
      <c r="R23" s="191"/>
      <c r="S23" s="192"/>
      <c r="T23" s="192"/>
      <c r="U23" s="192"/>
      <c r="V23" s="192"/>
      <c r="W23" s="192"/>
      <c r="X23" s="192"/>
      <c r="Y23" s="192"/>
      <c r="Z23" s="193"/>
    </row>
    <row r="24" spans="1:26" ht="12" customHeight="1" x14ac:dyDescent="0.35">
      <c r="A24" s="197"/>
      <c r="B24" s="198"/>
      <c r="C24" s="198"/>
      <c r="D24" s="198"/>
      <c r="E24" s="101">
        <f>_xlfn.XLOOKUP(A24,OptionsTable[Name],OptionsTable[Slots],,,)</f>
        <v>0</v>
      </c>
      <c r="F24" s="38">
        <f>IF(_xlfn.XLOOKUP(A24,OptionsTable[Name],OptionsTable[xS],,,)=FALSE,1,0.5)</f>
        <v>1</v>
      </c>
      <c r="G24" s="38"/>
      <c r="H24" s="199" t="str">
        <f>IF(_xlfn.XLOOKUP(A24,OptionsTable[Name],OptionsTable[Notes],,,)="","",_xlfn.XLOOKUP(A24,OptionsTable[Name],OptionsTable[Notes],,,))</f>
        <v/>
      </c>
      <c r="I24" s="200"/>
      <c r="J24" s="200"/>
      <c r="K24" s="44">
        <f>_xlfn.XLOOKUP(A24,OptionsTable[Name],OptionsTable[TL],,,)</f>
        <v>0</v>
      </c>
      <c r="N24" s="5" t="str">
        <f>IF(_xlfn.XLOOKUP(A24,OptionsTable[Name],OptionsTable[Trait],,,)="","",_xlfn.XLOOKUP(A24,OptionsTable[Name],OptionsTable[Trait],,,))</f>
        <v/>
      </c>
      <c r="O24" s="5" t="str">
        <f>IF(_xlfn.XLOOKUP(A24,OptionsTable[Name],OptionsTable[Skill],,,)="","",_xlfn.XLOOKUP(A24,OptionsTable[Name],OptionsTable[Skill],,,))</f>
        <v/>
      </c>
      <c r="P24" s="137">
        <f>_xlfn.XLOOKUP(A24,OptionsTable[Name],OptionsTable[Cost],,,)*F24</f>
        <v>0</v>
      </c>
      <c r="R24" s="191"/>
      <c r="S24" s="192"/>
      <c r="T24" s="192"/>
      <c r="U24" s="192"/>
      <c r="V24" s="192"/>
      <c r="W24" s="192"/>
      <c r="X24" s="192"/>
      <c r="Y24" s="192"/>
      <c r="Z24" s="193"/>
    </row>
    <row r="25" spans="1:26" ht="12" customHeight="1" x14ac:dyDescent="0.35">
      <c r="A25" s="197"/>
      <c r="B25" s="198"/>
      <c r="C25" s="198"/>
      <c r="D25" s="198"/>
      <c r="E25" s="101">
        <f>_xlfn.XLOOKUP(A25,OptionsTable[Name],OptionsTable[Slots],,,)</f>
        <v>0</v>
      </c>
      <c r="F25" s="38">
        <f>IF(_xlfn.XLOOKUP(A25,OptionsTable[Name],OptionsTable[xS],,,)=FALSE,1,0.5)</f>
        <v>1</v>
      </c>
      <c r="G25" s="38"/>
      <c r="H25" s="199" t="str">
        <f>IF(_xlfn.XLOOKUP(A25,OptionsTable[Name],OptionsTable[Notes],,,)="","",_xlfn.XLOOKUP(A25,OptionsTable[Name],OptionsTable[Notes],,,))</f>
        <v/>
      </c>
      <c r="I25" s="200"/>
      <c r="J25" s="200"/>
      <c r="K25" s="44">
        <f>_xlfn.XLOOKUP(A25,OptionsTable[Name],OptionsTable[TL],,,)</f>
        <v>0</v>
      </c>
      <c r="N25" s="5" t="str">
        <f>IF(_xlfn.XLOOKUP(A25,OptionsTable[Name],OptionsTable[Trait],,,)="","",_xlfn.XLOOKUP(A25,OptionsTable[Name],OptionsTable[Trait],,,))</f>
        <v/>
      </c>
      <c r="O25" s="5" t="str">
        <f>IF(_xlfn.XLOOKUP(A25,OptionsTable[Name],OptionsTable[Skill],,,)="","",_xlfn.XLOOKUP(A25,OptionsTable[Name],OptionsTable[Skill],,,))</f>
        <v/>
      </c>
      <c r="P25" s="137">
        <f>_xlfn.XLOOKUP(A25,OptionsTable[Name],OptionsTable[Cost],,,)*F25</f>
        <v>0</v>
      </c>
      <c r="R25" s="191"/>
      <c r="S25" s="192"/>
      <c r="T25" s="192"/>
      <c r="U25" s="192"/>
      <c r="V25" s="192"/>
      <c r="W25" s="192"/>
      <c r="X25" s="192"/>
      <c r="Y25" s="192"/>
      <c r="Z25" s="193"/>
    </row>
    <row r="26" spans="1:26" ht="12" customHeight="1" x14ac:dyDescent="0.35">
      <c r="A26" s="197"/>
      <c r="B26" s="198"/>
      <c r="C26" s="198"/>
      <c r="D26" s="198"/>
      <c r="E26" s="101">
        <f>_xlfn.XLOOKUP(A26,OptionsTable[Name],OptionsTable[Slots],,,)</f>
        <v>0</v>
      </c>
      <c r="F26" s="38">
        <f>IF(_xlfn.XLOOKUP(A26,OptionsTable[Name],OptionsTable[xS],,,)=FALSE,1,0.5)</f>
        <v>1</v>
      </c>
      <c r="G26" s="38"/>
      <c r="H26" s="199" t="str">
        <f>IF(_xlfn.XLOOKUP(A26,OptionsTable[Name],OptionsTable[Notes],,,)="","",_xlfn.XLOOKUP(A26,OptionsTable[Name],OptionsTable[Notes],,,))</f>
        <v/>
      </c>
      <c r="I26" s="200"/>
      <c r="J26" s="200"/>
      <c r="K26" s="44">
        <f>_xlfn.XLOOKUP(A26,OptionsTable[Name],OptionsTable[TL],,,)</f>
        <v>0</v>
      </c>
      <c r="N26" s="5" t="str">
        <f>IF(_xlfn.XLOOKUP(A26,OptionsTable[Name],OptionsTable[Trait],,,)="","",_xlfn.XLOOKUP(A26,OptionsTable[Name],OptionsTable[Trait],,,))</f>
        <v/>
      </c>
      <c r="O26" s="5" t="str">
        <f>IF(_xlfn.XLOOKUP(A26,OptionsTable[Name],OptionsTable[Skill],,,)="","",_xlfn.XLOOKUP(A26,OptionsTable[Name],OptionsTable[Skill],,,))</f>
        <v/>
      </c>
      <c r="P26" s="137">
        <f>_xlfn.XLOOKUP(A26,OptionsTable[Name],OptionsTable[Cost],,,)*F26</f>
        <v>0</v>
      </c>
      <c r="R26" s="191"/>
      <c r="S26" s="192"/>
      <c r="T26" s="192"/>
      <c r="U26" s="192"/>
      <c r="V26" s="192"/>
      <c r="W26" s="192"/>
      <c r="X26" s="192"/>
      <c r="Y26" s="192"/>
      <c r="Z26" s="193"/>
    </row>
    <row r="27" spans="1:26" ht="12" customHeight="1" x14ac:dyDescent="0.35">
      <c r="A27" s="197"/>
      <c r="B27" s="198"/>
      <c r="C27" s="198"/>
      <c r="D27" s="198"/>
      <c r="E27" s="101">
        <f>_xlfn.XLOOKUP(A27,OptionsTable[Name],OptionsTable[Slots],,,)</f>
        <v>0</v>
      </c>
      <c r="F27" s="38">
        <f>IF(_xlfn.XLOOKUP(A27,OptionsTable[Name],OptionsTable[xS],,,)=FALSE,1,0.5)</f>
        <v>1</v>
      </c>
      <c r="G27" s="38"/>
      <c r="H27" s="199" t="str">
        <f>IF(_xlfn.XLOOKUP(A27,OptionsTable[Name],OptionsTable[Notes],,,)="","",_xlfn.XLOOKUP(A27,OptionsTable[Name],OptionsTable[Notes],,,))</f>
        <v/>
      </c>
      <c r="I27" s="200"/>
      <c r="J27" s="200"/>
      <c r="K27" s="44">
        <f>_xlfn.XLOOKUP(A27,OptionsTable[Name],OptionsTable[TL],,,)</f>
        <v>0</v>
      </c>
      <c r="N27" s="5" t="str">
        <f>IF(_xlfn.XLOOKUP(A27,OptionsTable[Name],OptionsTable[Trait],,,)="","",_xlfn.XLOOKUP(A27,OptionsTable[Name],OptionsTable[Trait],,,))</f>
        <v/>
      </c>
      <c r="O27" s="5" t="str">
        <f>IF(_xlfn.XLOOKUP(A27,OptionsTable[Name],OptionsTable[Skill],,,)="","",_xlfn.XLOOKUP(A27,OptionsTable[Name],OptionsTable[Skill],,,))</f>
        <v/>
      </c>
      <c r="P27" s="137">
        <f>_xlfn.XLOOKUP(A27,OptionsTable[Name],OptionsTable[Cost],,,)*F27</f>
        <v>0</v>
      </c>
      <c r="R27" s="191"/>
      <c r="S27" s="192"/>
      <c r="T27" s="192"/>
      <c r="U27" s="192"/>
      <c r="V27" s="192"/>
      <c r="W27" s="192"/>
      <c r="X27" s="192"/>
      <c r="Y27" s="192"/>
      <c r="Z27" s="193"/>
    </row>
    <row r="28" spans="1:26" ht="12" customHeight="1" x14ac:dyDescent="0.35">
      <c r="A28" s="197"/>
      <c r="B28" s="198"/>
      <c r="C28" s="198"/>
      <c r="D28" s="198"/>
      <c r="E28" s="101">
        <f>_xlfn.XLOOKUP(A28,OptionsTable[Name],OptionsTable[Slots],,,)</f>
        <v>0</v>
      </c>
      <c r="F28" s="38">
        <f>IF(_xlfn.XLOOKUP(A28,OptionsTable[Name],OptionsTable[xS],,,)=FALSE,1,0.5)</f>
        <v>1</v>
      </c>
      <c r="G28" s="38"/>
      <c r="H28" s="199" t="str">
        <f>IF(_xlfn.XLOOKUP(A28,OptionsTable[Name],OptionsTable[Notes],,,)="","",_xlfn.XLOOKUP(A28,OptionsTable[Name],OptionsTable[Notes],,,))</f>
        <v/>
      </c>
      <c r="I28" s="200"/>
      <c r="J28" s="200"/>
      <c r="K28" s="44">
        <f>_xlfn.XLOOKUP(A28,OptionsTable[Name],OptionsTable[TL],,,)</f>
        <v>0</v>
      </c>
      <c r="N28" s="5" t="str">
        <f>IF(_xlfn.XLOOKUP(A28,OptionsTable[Name],OptionsTable[Trait],,,)="","",_xlfn.XLOOKUP(A28,OptionsTable[Name],OptionsTable[Trait],,,))</f>
        <v/>
      </c>
      <c r="O28" s="5" t="str">
        <f>IF(_xlfn.XLOOKUP(A28,OptionsTable[Name],OptionsTable[Skill],,,)="","",_xlfn.XLOOKUP(A28,OptionsTable[Name],OptionsTable[Skill],,,))</f>
        <v/>
      </c>
      <c r="P28" s="137">
        <f>_xlfn.XLOOKUP(A28,OptionsTable[Name],OptionsTable[Cost],,,)*F28</f>
        <v>0</v>
      </c>
      <c r="R28" s="191"/>
      <c r="S28" s="192"/>
      <c r="T28" s="192"/>
      <c r="U28" s="192"/>
      <c r="V28" s="192"/>
      <c r="W28" s="192"/>
      <c r="X28" s="192"/>
      <c r="Y28" s="192"/>
      <c r="Z28" s="193"/>
    </row>
    <row r="29" spans="1:26" ht="12" customHeight="1" x14ac:dyDescent="0.35">
      <c r="A29" s="197"/>
      <c r="B29" s="198"/>
      <c r="C29" s="198"/>
      <c r="D29" s="198"/>
      <c r="E29" s="101">
        <f>_xlfn.XLOOKUP(A29,OptionsTable[Name],OptionsTable[Slots],,,)</f>
        <v>0</v>
      </c>
      <c r="F29" s="38">
        <f>IF(_xlfn.XLOOKUP(A29,OptionsTable[Name],OptionsTable[xS],,,)=FALSE,1,0.5)</f>
        <v>1</v>
      </c>
      <c r="G29" s="38"/>
      <c r="H29" s="199" t="str">
        <f>IF(_xlfn.XLOOKUP(A29,OptionsTable[Name],OptionsTable[Notes],,,)="","",_xlfn.XLOOKUP(A29,OptionsTable[Name],OptionsTable[Notes],,,))</f>
        <v/>
      </c>
      <c r="I29" s="200"/>
      <c r="J29" s="200"/>
      <c r="K29" s="44">
        <f>_xlfn.XLOOKUP(A29,OptionsTable[Name],OptionsTable[TL],,,)</f>
        <v>0</v>
      </c>
      <c r="N29" s="5" t="str">
        <f>IF(_xlfn.XLOOKUP(A29,OptionsTable[Name],OptionsTable[Trait],,,)="","",_xlfn.XLOOKUP(A29,OptionsTable[Name],OptionsTable[Trait],,,))</f>
        <v/>
      </c>
      <c r="O29" s="5" t="str">
        <f>IF(_xlfn.XLOOKUP(A29,OptionsTable[Name],OptionsTable[Skill],,,)="","",_xlfn.XLOOKUP(A29,OptionsTable[Name],OptionsTable[Skill],,,))</f>
        <v/>
      </c>
      <c r="P29" s="137">
        <f>_xlfn.XLOOKUP(A29,OptionsTable[Name],OptionsTable[Cost],,,)*F29</f>
        <v>0</v>
      </c>
      <c r="R29" s="191"/>
      <c r="S29" s="192"/>
      <c r="T29" s="192"/>
      <c r="U29" s="192"/>
      <c r="V29" s="192"/>
      <c r="W29" s="192"/>
      <c r="X29" s="192"/>
      <c r="Y29" s="192"/>
      <c r="Z29" s="193"/>
    </row>
    <row r="30" spans="1:26" ht="12" customHeight="1" x14ac:dyDescent="0.35">
      <c r="A30" s="197"/>
      <c r="B30" s="198"/>
      <c r="C30" s="198"/>
      <c r="D30" s="198"/>
      <c r="E30" s="101">
        <f>_xlfn.XLOOKUP(A30,OptionsTable[Name],OptionsTable[Slots],,,)</f>
        <v>0</v>
      </c>
      <c r="F30" s="38">
        <f>IF(_xlfn.XLOOKUP(A30,OptionsTable[Name],OptionsTable[xS],,,)=FALSE,1,0.5)</f>
        <v>1</v>
      </c>
      <c r="G30" s="38"/>
      <c r="H30" s="199" t="str">
        <f>IF(_xlfn.XLOOKUP(A30,OptionsTable[Name],OptionsTable[Notes],,,)="","",_xlfn.XLOOKUP(A30,OptionsTable[Name],OptionsTable[Notes],,,))</f>
        <v/>
      </c>
      <c r="I30" s="200"/>
      <c r="J30" s="200"/>
      <c r="K30" s="44">
        <f>_xlfn.XLOOKUP(A30,OptionsTable[Name],OptionsTable[TL],,,)</f>
        <v>0</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_xlfn.XLOOKUP(A30,OptionsTable[Name],OptionsTable[Cost],,,)*F30</f>
        <v>0</v>
      </c>
      <c r="R30" s="191"/>
      <c r="S30" s="192"/>
      <c r="T30" s="192"/>
      <c r="U30" s="192"/>
      <c r="V30" s="192"/>
      <c r="W30" s="192"/>
      <c r="X30" s="192"/>
      <c r="Y30" s="192"/>
      <c r="Z30" s="193"/>
    </row>
    <row r="31" spans="1:26" ht="12" customHeight="1" thickBot="1" x14ac:dyDescent="0.4">
      <c r="E31" s="40"/>
      <c r="F31" s="38"/>
      <c r="K31" s="40"/>
      <c r="P31" s="134"/>
      <c r="R31" s="191"/>
      <c r="S31" s="192"/>
      <c r="T31" s="192"/>
      <c r="U31" s="192"/>
      <c r="V31" s="192"/>
      <c r="W31" s="192"/>
      <c r="X31" s="192"/>
      <c r="Y31" s="192"/>
      <c r="Z31" s="193"/>
    </row>
    <row r="32" spans="1:26" ht="12" customHeight="1" thickBot="1" x14ac:dyDescent="0.4">
      <c r="A32" s="64" t="s">
        <v>65</v>
      </c>
      <c r="B32" s="64"/>
      <c r="C32" s="64"/>
      <c r="D32" s="64"/>
      <c r="E32" s="65" t="s">
        <v>10</v>
      </c>
      <c r="F32" s="39"/>
      <c r="G32" s="64"/>
      <c r="H32" s="64" t="s">
        <v>48</v>
      </c>
      <c r="I32" s="64" t="s">
        <v>153</v>
      </c>
      <c r="J32" s="78" t="s">
        <v>402</v>
      </c>
      <c r="K32" s="77" t="s">
        <v>4</v>
      </c>
      <c r="L32" s="66" t="s">
        <v>89</v>
      </c>
      <c r="M32" s="64"/>
      <c r="N32" s="64" t="s">
        <v>25</v>
      </c>
      <c r="O32" s="64" t="s">
        <v>90</v>
      </c>
      <c r="P32" s="135" t="s">
        <v>5</v>
      </c>
      <c r="R32" s="191"/>
      <c r="S32" s="192"/>
      <c r="T32" s="192"/>
      <c r="U32" s="192"/>
      <c r="V32" s="192"/>
      <c r="W32" s="192"/>
      <c r="X32" s="192"/>
      <c r="Y32" s="192"/>
      <c r="Z32" s="193"/>
    </row>
    <row r="33" spans="1:26" ht="12" customHeight="1" x14ac:dyDescent="0.35">
      <c r="A33" s="93" t="s">
        <v>309</v>
      </c>
      <c r="B33" s="226" t="s">
        <v>3</v>
      </c>
      <c r="C33" s="227"/>
      <c r="D33" s="227"/>
      <c r="E33" s="40"/>
      <c r="F33" s="38"/>
      <c r="H33" s="1">
        <f>_xlfn.XLOOKUP(B33,MicrobotBrains[Programming/Control],MicrobotBrains[Base INT],,,)</f>
        <v>6</v>
      </c>
      <c r="I33" s="31">
        <f>IF(H33&gt;17,4,IF(H33&gt;14,3,IF(H33&gt;11,2,IF(H33&gt;8,1,IF(H33&gt;5,0,IF(H33&gt;2,-1,-2))))))</f>
        <v>0</v>
      </c>
      <c r="J33" s="1">
        <f>_xlfn.XLOOKUP(B33,MicrobotBrains[Programming/Control],MicrobotBrains[Computer/X],,,)</f>
        <v>2</v>
      </c>
      <c r="K33" s="44">
        <f>_xlfn.XLOOKUP(B33,MicrobotBrains[Programming/Control],MicrobotBrains[TL],,,)</f>
        <v>12</v>
      </c>
      <c r="L33">
        <f>_xlfn.XLOOKUP(B33,MicrobotBrains[Programming/Control],MicrobotBrains[Computer/X],,,)</f>
        <v>2</v>
      </c>
      <c r="M33" s="12" t="str">
        <f>_xlfn.XLOOKUP(B33,MicrobotBrains[Programming/Control],MicrobotBrains[Base capability (built-in no bandwidth, cumulative)],,,)</f>
        <v>Intelligent Interface, Expert/1, Security/1</v>
      </c>
      <c r="N33" s="12"/>
      <c r="O33" s="12" t="str">
        <f>IF(_xlfn.XLOOKUP(B33,MicrobotBrains[Programming/Control],MicrobotBrains[Skill],,,)="","",_xlfn.XLOOKUP(B33,MicrobotBrains[Programming/Control],MicrobotBrains[Skill],,,))</f>
        <v/>
      </c>
      <c r="P33" s="137">
        <f>_xlfn.XLOOKUP(B33,MicrobotBrains[Programming/Control],MicrobotBrains[Cost],,,)*IF(L33&gt;2,2/(2)^(1+O2-K33),1)</f>
        <v>10000</v>
      </c>
      <c r="R33" s="191"/>
      <c r="S33" s="192"/>
      <c r="T33" s="192"/>
      <c r="U33" s="192"/>
      <c r="V33" s="192"/>
      <c r="W33" s="192"/>
      <c r="X33" s="192"/>
      <c r="Y33" s="192"/>
      <c r="Z33" s="193"/>
    </row>
    <row r="34" spans="1:26" ht="12" customHeight="1" x14ac:dyDescent="0.35">
      <c r="A34" s="93" t="s">
        <v>708</v>
      </c>
      <c r="B34" s="29">
        <v>0</v>
      </c>
      <c r="E34" s="40"/>
      <c r="F34" s="38" cm="1">
        <f t="array" ref="F34">_xlfn.IFS(B34=0,0,B34=1,-1,B34=2,-3,B34=3,-6)</f>
        <v>0</v>
      </c>
      <c r="H34" s="6">
        <f>H33+B34</f>
        <v>6</v>
      </c>
      <c r="I34" s="15">
        <f>IF(H34&gt;17,4,IF(H34&gt;14,3,IF(H34&gt;11,2,IF(H34&gt;8,1,IF(H34&gt;5,0,IF(H34&gt;2,-1,-2))))))</f>
        <v>0</v>
      </c>
      <c r="K34" s="44"/>
      <c r="L34" s="56">
        <f>L33+F34</f>
        <v>2</v>
      </c>
      <c r="M34" t="s">
        <v>310</v>
      </c>
      <c r="P34" s="137" cm="1">
        <f t="array" ref="P34">_xlfn.IFS(B34=0,0,B34=1,(H33+1)*1000,B34=2,(H33+1)*(H33+2)*1000,B34=3,(H33+1)*(H33+2)*(H33+3)*1000)*IF(H34&gt;11,2,1)</f>
        <v>0</v>
      </c>
      <c r="R34" s="191"/>
      <c r="S34" s="192"/>
      <c r="T34" s="192"/>
      <c r="U34" s="192"/>
      <c r="V34" s="192"/>
      <c r="W34" s="192"/>
      <c r="X34" s="192"/>
      <c r="Y34" s="192"/>
      <c r="Z34" s="193"/>
    </row>
    <row r="35" spans="1:26" ht="12" customHeight="1" thickBot="1" x14ac:dyDescent="0.4">
      <c r="A35" s="93" t="s">
        <v>308</v>
      </c>
      <c r="B35" s="28" t="b">
        <v>0</v>
      </c>
      <c r="C35" s="24"/>
      <c r="D35" s="24"/>
      <c r="E35" s="41"/>
      <c r="F35" s="39"/>
      <c r="G35" s="24"/>
      <c r="H35" s="47"/>
      <c r="I35" s="24"/>
      <c r="J35" s="105">
        <f>J33-COUNTIF(G41:G47,0)</f>
        <v>2</v>
      </c>
      <c r="K35" s="43"/>
      <c r="L35" s="57">
        <f>L34-SUM(G37:G47)</f>
        <v>2</v>
      </c>
      <c r="M35" s="24" t="s">
        <v>312</v>
      </c>
      <c r="N35" s="25" t="str">
        <f>IF(B35,"Hardened, ","")</f>
        <v/>
      </c>
      <c r="O35" s="24"/>
      <c r="P35" s="136">
        <f>B35*(P33)*0.5</f>
        <v>0</v>
      </c>
      <c r="R35" s="191"/>
      <c r="S35" s="192"/>
      <c r="T35" s="192"/>
      <c r="U35" s="192"/>
      <c r="V35" s="192"/>
      <c r="W35" s="192"/>
      <c r="X35" s="192"/>
      <c r="Y35" s="192"/>
      <c r="Z35" s="193"/>
    </row>
    <row r="36" spans="1:26" ht="12" customHeight="1" thickBot="1" x14ac:dyDescent="0.4">
      <c r="A36" s="64" t="s">
        <v>116</v>
      </c>
      <c r="B36" s="64"/>
      <c r="C36" s="64"/>
      <c r="D36" s="64"/>
      <c r="E36" s="65"/>
      <c r="F36" s="65"/>
      <c r="G36" s="65" t="s">
        <v>89</v>
      </c>
      <c r="H36" s="64"/>
      <c r="I36" s="64"/>
      <c r="J36" s="64"/>
      <c r="K36" s="64"/>
      <c r="L36" s="64"/>
      <c r="M36" s="64"/>
      <c r="N36" s="64"/>
      <c r="O36" s="64"/>
      <c r="P36" s="135" t="s">
        <v>5</v>
      </c>
      <c r="R36" s="191"/>
      <c r="S36" s="192"/>
      <c r="T36" s="192"/>
      <c r="U36" s="192"/>
      <c r="V36" s="192"/>
      <c r="W36" s="192"/>
      <c r="X36" s="192"/>
      <c r="Y36" s="192"/>
      <c r="Z36" s="193"/>
    </row>
    <row r="37" spans="1:26" ht="12" customHeight="1" x14ac:dyDescent="0.35">
      <c r="A37" s="93" t="s">
        <v>14</v>
      </c>
      <c r="B37" s="197" t="s">
        <v>117</v>
      </c>
      <c r="C37" s="198"/>
      <c r="D37" s="198"/>
      <c r="E37" s="40"/>
      <c r="G37" s="59">
        <f>_xlfn.XLOOKUP(B37,PrimitiveBrain[Name],PrimitiveBrain[Bandwidth],,,)</f>
        <v>0</v>
      </c>
      <c r="K37" s="44">
        <f>_xlfn.XLOOKUP(B37,PrimitiveBrain[Name],PrimitiveBrain[TL],,,)</f>
        <v>0</v>
      </c>
      <c r="N37" s="12" t="str">
        <f>IF(B37="Alert","Alarm, ","")</f>
        <v/>
      </c>
      <c r="O37" s="12" t="str">
        <f>IF(_xlfn.XLOOKUP(B37,PrimitiveBrain[Name],PrimitiveBrain[Skill],,,)="","",_xlfn.XLOOKUP(B37,PrimitiveBrain[Name],PrimitiveBrain[Skill],,,))</f>
        <v/>
      </c>
      <c r="P37" s="137">
        <f>_xlfn.XLOOKUP(B37,PrimitiveBrain[Name],PrimitiveBrain[Cr],,,)</f>
        <v>0</v>
      </c>
      <c r="R37" s="191"/>
      <c r="S37" s="192"/>
      <c r="T37" s="192"/>
      <c r="U37" s="192"/>
      <c r="V37" s="192"/>
      <c r="W37" s="192"/>
      <c r="X37" s="192"/>
      <c r="Y37" s="192"/>
      <c r="Z37" s="193"/>
    </row>
    <row r="38" spans="1:26" ht="12" customHeight="1" x14ac:dyDescent="0.35">
      <c r="A38" s="93" t="s">
        <v>0</v>
      </c>
      <c r="B38" s="197" t="s">
        <v>117</v>
      </c>
      <c r="C38" s="198"/>
      <c r="D38" s="198"/>
      <c r="E38" s="40"/>
      <c r="G38" s="59">
        <f>_xlfn.XLOOKUP(B38,BasicBrain[Name],BasicBrain[Bandwidth],,,)</f>
        <v>0</v>
      </c>
      <c r="K38" s="44">
        <f>_xlfn.XLOOKUP(B38,BasicBrain[Name],BasicBrain[TL],,,)</f>
        <v>0</v>
      </c>
      <c r="N38" s="12" t="str">
        <f>IF(B38="Basic (security)","Alarm, ","")</f>
        <v/>
      </c>
      <c r="O38" s="5" t="str">
        <f>IF(_xlfn.XLOOKUP(B38,BasicBrain[Name],BasicBrain[Skill],,,)="","",_xlfn.XLOOKUP(B38,BasicBrain[Name],BasicBrain[Skill],,,))</f>
        <v/>
      </c>
      <c r="P38" s="137">
        <f>_xlfn.XLOOKUP(B38,BasicBrain[Name],BasicBrain[Cr],,,)</f>
        <v>0</v>
      </c>
      <c r="R38" s="191"/>
      <c r="S38" s="192"/>
      <c r="T38" s="192"/>
      <c r="U38" s="192"/>
      <c r="V38" s="192"/>
      <c r="W38" s="192"/>
      <c r="X38" s="192"/>
      <c r="Y38" s="192"/>
      <c r="Z38" s="193"/>
    </row>
    <row r="39" spans="1:26" ht="12" customHeight="1" thickBot="1" x14ac:dyDescent="0.4">
      <c r="A39" s="93" t="s">
        <v>108</v>
      </c>
      <c r="B39" s="230" t="s">
        <v>117</v>
      </c>
      <c r="C39" s="231"/>
      <c r="D39" s="231"/>
      <c r="E39" s="42"/>
      <c r="F39" s="13"/>
      <c r="G39" s="59">
        <f>_xlfn.XLOOKUP(B39,HunterKillerBrain[Name],HunterKillerBrain[Bandwidth],,,)</f>
        <v>0</v>
      </c>
      <c r="H39" s="13"/>
      <c r="I39" s="13"/>
      <c r="J39" s="13"/>
      <c r="K39" s="46">
        <f>_xlfn.XLOOKUP(B39,HunterKillerBrain[Name],HunterKillerBrain[TL],,,)</f>
        <v>0</v>
      </c>
      <c r="L39" s="4"/>
      <c r="M39" s="13"/>
      <c r="N39" s="13"/>
      <c r="O39" s="14" t="str">
        <f>IF(_xlfn.XLOOKUP(B39,HunterKillerBrain[Name],HunterKillerBrain[Skill],,,)="","",_xlfn.XLOOKUP(B39,HunterKillerBrain[Name],HunterKillerBrain[Skill],,,))</f>
        <v/>
      </c>
      <c r="P39" s="137">
        <f>_xlfn.XLOOKUP(B39,HunterKillerBrain[Name],HunterKillerBrain[Cr],,,)</f>
        <v>0</v>
      </c>
      <c r="R39" s="191"/>
      <c r="S39" s="192"/>
      <c r="T39" s="192"/>
      <c r="U39" s="192"/>
      <c r="V39" s="192"/>
      <c r="W39" s="192"/>
      <c r="X39" s="192"/>
      <c r="Y39" s="192"/>
      <c r="Z39" s="193"/>
    </row>
    <row r="40" spans="1:26" ht="12" customHeight="1" thickBot="1" x14ac:dyDescent="0.4">
      <c r="A40" s="64" t="s">
        <v>114</v>
      </c>
      <c r="B40" s="64" t="s">
        <v>361</v>
      </c>
      <c r="C40" s="64"/>
      <c r="D40" s="64" t="s">
        <v>6</v>
      </c>
      <c r="E40" s="65"/>
      <c r="F40" s="65"/>
      <c r="G40" s="65" t="s">
        <v>89</v>
      </c>
      <c r="H40" s="64"/>
      <c r="I40" s="64" t="s">
        <v>314</v>
      </c>
      <c r="J40" s="78"/>
      <c r="K40" s="77" t="s">
        <v>4</v>
      </c>
      <c r="L40" s="66"/>
      <c r="M40" s="64"/>
      <c r="N40" s="64"/>
      <c r="O40" s="64" t="s">
        <v>307</v>
      </c>
      <c r="P40" s="135" t="s">
        <v>5</v>
      </c>
      <c r="R40" s="191"/>
      <c r="S40" s="192"/>
      <c r="T40" s="192"/>
      <c r="U40" s="192"/>
      <c r="V40" s="192"/>
      <c r="W40" s="192"/>
      <c r="X40" s="192"/>
      <c r="Y40" s="192"/>
      <c r="Z40" s="193"/>
    </row>
    <row r="41" spans="1:26" ht="12" customHeight="1" x14ac:dyDescent="0.35">
      <c r="A41" s="48" t="s">
        <v>117</v>
      </c>
      <c r="B41" s="228"/>
      <c r="C41" s="229"/>
      <c r="D41" s="58"/>
      <c r="E41" s="40"/>
      <c r="G41" s="59" t="str">
        <f>IF(A41="N/A","",D41+_xlfn.XLOOKUP(A41,StandardBrain[Name],StandardBrain[Bandwidth],,,))</f>
        <v/>
      </c>
      <c r="I41" s="59" t="str">
        <f>_xlfn.XLOOKUP(A41,StandardBrain[Name],StandardBrain[Characteristic],,,)</f>
        <v xml:space="preserve"> </v>
      </c>
      <c r="K41" s="44">
        <f>_xlfn.XLOOKUP(A41,StandardBrain[Name],StandardBrain[TL],,,)+D41</f>
        <v>0</v>
      </c>
      <c r="O41" s="12" t="str">
        <f>IF(_xlfn.XLOOKUP(A41,StandardBrain[Name],StandardBrain[Skill],,,)="","",_xlfn.CONCAT(_xlfn.XLOOKUP(A41,StandardBrain[Name],StandardBrain[Skill],,,),IF(RIGHT(_xlfn.XLOOKUP(A41,StandardBrain[Name],StandardBrain[Skill],,,),1)="(",B41,""),IF(RIGHT(_xlfn.XLOOKUP(A41,StandardBrain[Name],StandardBrain[Skill],,,),1)="(",")","")," ",D41+IF(_xlfn.XLOOKUP(A41,StandardBrain[Name],StandardBrain[Characteristic],,,)="INT",$I$34,IF(ROUNDUP($O$2/2+1,0)&gt;29,8,IF(ROUNDUP($O$2/2+1,0)&gt;26,7,IF(ROUNDUP($O$2/2+1,0)&gt;23,6,IF(ROUNDUP($O$2/2+1,0)&gt;20,5,IF(ROUNDUP($O$2/2+1,0)&gt;17,4,IF(ROUNDUP($O$2/2+1,0)&gt;14,3,IF(ROUNDUP($O$2/2+1,0)&gt;11,2,IF(ROUNDUP($O$2/2+1,0)&gt;8,1,IF(ROUNDUP($O$2/2+1,0)&gt;5,0,IF(ROUNDUP($O$2/2+1,0)&gt;2,-1,-2))))))))))),", "))</f>
        <v/>
      </c>
      <c r="P41" s="137">
        <f>_xlfn.XLOOKUP(A41,StandardBrain[Name],StandardBrain[Cr],,,)*10^(D41)</f>
        <v>0</v>
      </c>
      <c r="R41" s="191"/>
      <c r="S41" s="192"/>
      <c r="T41" s="192"/>
      <c r="U41" s="192"/>
      <c r="V41" s="192"/>
      <c r="W41" s="192"/>
      <c r="X41" s="192"/>
      <c r="Y41" s="192"/>
      <c r="Z41" s="193"/>
    </row>
    <row r="42" spans="1:26" ht="12" customHeight="1" x14ac:dyDescent="0.35">
      <c r="A42" s="30" t="s">
        <v>117</v>
      </c>
      <c r="B42" s="199"/>
      <c r="C42" s="219"/>
      <c r="D42" s="58"/>
      <c r="E42" s="40"/>
      <c r="G42" s="59" t="str">
        <f>IF(A42="N/A","",D42+_xlfn.XLOOKUP(A42,StandardBrain[Name],StandardBrain[Bandwidth],,,))</f>
        <v/>
      </c>
      <c r="I42" s="59" t="str">
        <f>_xlfn.XLOOKUP(A42,StandardBrain[Name],StandardBrain[Characteristic],,,)</f>
        <v xml:space="preserve"> </v>
      </c>
      <c r="K42" s="44">
        <f>_xlfn.XLOOKUP(A42,StandardBrain[Name],StandardBrain[TL],,,)+D42</f>
        <v>0</v>
      </c>
      <c r="O42" s="12" t="str">
        <f>IF(_xlfn.XLOOKUP(A42,StandardBrain[Name],StandardBrain[Skill],,,)="","",_xlfn.CONCAT(_xlfn.XLOOKUP(A42,StandardBrain[Name],StandardBrain[Skill],,,),IF(RIGHT(_xlfn.XLOOKUP(A42,StandardBrain[Name],StandardBrain[Skill],,,),1)="(",B42,""),IF(RIGHT(_xlfn.XLOOKUP(A42,StandardBrain[Name],StandardBrain[Skill],,,),1)="(",")","")," ",D42+IF(_xlfn.XLOOKUP(A42,StandardBrain[Name],StandardBrain[Characteristic],,,)="INT",$I$34,IF(ROUNDUP($O$2/2+1,0)&gt;29,8,IF(ROUNDUP($O$2/2+1,0)&gt;26,7,IF(ROUNDUP($O$2/2+1,0)&gt;23,6,IF(ROUNDUP($O$2/2+1,0)&gt;20,5,IF(ROUNDUP($O$2/2+1,0)&gt;17,4,IF(ROUNDUP($O$2/2+1,0)&gt;14,3,IF(ROUNDUP($O$2/2+1,0)&gt;11,2,IF(ROUNDUP($O$2/2+1,0)&gt;8,1,IF(ROUNDUP($O$2/2+1,0)&gt;5,0,IF(ROUNDUP($O$2/2+1,0)&gt;2,-1,-2))))))))))),", "))</f>
        <v/>
      </c>
      <c r="P42" s="137">
        <f>_xlfn.XLOOKUP(A42,StandardBrain[Name],StandardBrain[Cr],,,)*10^(D42)</f>
        <v>0</v>
      </c>
      <c r="R42" s="191"/>
      <c r="S42" s="192"/>
      <c r="T42" s="192"/>
      <c r="U42" s="192"/>
      <c r="V42" s="192"/>
      <c r="W42" s="192"/>
      <c r="X42" s="192"/>
      <c r="Y42" s="192"/>
      <c r="Z42" s="193"/>
    </row>
    <row r="43" spans="1:26" ht="12" customHeight="1" x14ac:dyDescent="0.35">
      <c r="A43" s="30" t="s">
        <v>117</v>
      </c>
      <c r="B43" s="199"/>
      <c r="C43" s="219"/>
      <c r="D43" s="58"/>
      <c r="E43" s="40"/>
      <c r="G43" s="59" t="str">
        <f>IF(A43="N/A","",D43+_xlfn.XLOOKUP(A43,StandardBrain[Name],StandardBrain[Bandwidth],,,))</f>
        <v/>
      </c>
      <c r="I43" s="59" t="str">
        <f>_xlfn.XLOOKUP(A43,StandardBrain[Name],StandardBrain[Characteristic],,,)</f>
        <v xml:space="preserve"> </v>
      </c>
      <c r="K43" s="44">
        <f>_xlfn.XLOOKUP(A43,StandardBrain[Name],StandardBrain[TL],,,)+D43</f>
        <v>0</v>
      </c>
      <c r="O43" s="12" t="str">
        <f>IF(_xlfn.XLOOKUP(A43,StandardBrain[Name],StandardBrain[Skill],,,)="","",_xlfn.CONCAT(_xlfn.XLOOKUP(A43,StandardBrain[Name],StandardBrain[Skill],,,),IF(RIGHT(_xlfn.XLOOKUP(A43,StandardBrain[Name],StandardBrain[Skill],,,),1)="(",B43,""),IF(RIGHT(_xlfn.XLOOKUP(A43,StandardBrain[Name],StandardBrain[Skill],,,),1)="(",")","")," ",D43+IF(_xlfn.XLOOKUP(A43,StandardBrain[Name],StandardBrain[Characteristic],,,)="INT",$I$34,IF(ROUNDUP($O$2/2+1,0)&gt;29,8,IF(ROUNDUP($O$2/2+1,0)&gt;26,7,IF(ROUNDUP($O$2/2+1,0)&gt;23,6,IF(ROUNDUP($O$2/2+1,0)&gt;20,5,IF(ROUNDUP($O$2/2+1,0)&gt;17,4,IF(ROUNDUP($O$2/2+1,0)&gt;14,3,IF(ROUNDUP($O$2/2+1,0)&gt;11,2,IF(ROUNDUP($O$2/2+1,0)&gt;8,1,IF(ROUNDUP($O$2/2+1,0)&gt;5,0,IF(ROUNDUP($O$2/2+1,0)&gt;2,-1,-2))))))))))),", "))</f>
        <v/>
      </c>
      <c r="P43" s="137">
        <f>_xlfn.XLOOKUP(A43,StandardBrain[Name],StandardBrain[Cr],,,)*10^(D43)</f>
        <v>0</v>
      </c>
      <c r="R43" s="191"/>
      <c r="S43" s="192"/>
      <c r="T43" s="192"/>
      <c r="U43" s="192"/>
      <c r="V43" s="192"/>
      <c r="W43" s="192"/>
      <c r="X43" s="192"/>
      <c r="Y43" s="192"/>
      <c r="Z43" s="193"/>
    </row>
    <row r="44" spans="1:26" ht="12" customHeight="1" x14ac:dyDescent="0.35">
      <c r="A44" s="30" t="s">
        <v>117</v>
      </c>
      <c r="B44" s="199"/>
      <c r="C44" s="219"/>
      <c r="D44" s="58"/>
      <c r="E44" s="40"/>
      <c r="G44" s="59" t="str">
        <f>IF(A44="N/A","",D44+_xlfn.XLOOKUP(A44,StandardBrain[Name],StandardBrain[Bandwidth],,,))</f>
        <v/>
      </c>
      <c r="I44" s="59" t="str">
        <f>_xlfn.XLOOKUP(A44,StandardBrain[Name],StandardBrain[Characteristic],,,)</f>
        <v xml:space="preserve"> </v>
      </c>
      <c r="K44" s="44">
        <f>_xlfn.XLOOKUP(A44,StandardBrain[Name],StandardBrain[TL],,,)+D44</f>
        <v>0</v>
      </c>
      <c r="O44" s="12" t="str">
        <f>IF(_xlfn.XLOOKUP(A44,StandardBrain[Name],StandardBrain[Skill],,,)="","",_xlfn.CONCAT(_xlfn.XLOOKUP(A44,StandardBrain[Name],StandardBrain[Skill],,,),IF(RIGHT(_xlfn.XLOOKUP(A44,StandardBrain[Name],StandardBrain[Skill],,,),1)="(",B44,""),IF(RIGHT(_xlfn.XLOOKUP(A44,StandardBrain[Name],StandardBrain[Skill],,,),1)="(",")","")," ",D44+IF(_xlfn.XLOOKUP(A44,StandardBrain[Name],StandardBrain[Characteristic],,,)="INT",$I$34,IF(ROUNDUP($O$2/2+1,0)&gt;29,8,IF(ROUNDUP($O$2/2+1,0)&gt;26,7,IF(ROUNDUP($O$2/2+1,0)&gt;23,6,IF(ROUNDUP($O$2/2+1,0)&gt;20,5,IF(ROUNDUP($O$2/2+1,0)&gt;17,4,IF(ROUNDUP($O$2/2+1,0)&gt;14,3,IF(ROUNDUP($O$2/2+1,0)&gt;11,2,IF(ROUNDUP($O$2/2+1,0)&gt;8,1,IF(ROUNDUP($O$2/2+1,0)&gt;5,0,IF(ROUNDUP($O$2/2+1,0)&gt;2,-1,-2))))))))))),", "))</f>
        <v/>
      </c>
      <c r="P44" s="137">
        <f>_xlfn.XLOOKUP(A44,StandardBrain[Name],StandardBrain[Cr],,,)*10^(D44)</f>
        <v>0</v>
      </c>
      <c r="R44" s="191"/>
      <c r="S44" s="192"/>
      <c r="T44" s="192"/>
      <c r="U44" s="192"/>
      <c r="V44" s="192"/>
      <c r="W44" s="192"/>
      <c r="X44" s="192"/>
      <c r="Y44" s="192"/>
      <c r="Z44" s="193"/>
    </row>
    <row r="45" spans="1:26" ht="12" customHeight="1" x14ac:dyDescent="0.35">
      <c r="A45" s="30" t="s">
        <v>117</v>
      </c>
      <c r="B45" s="199"/>
      <c r="C45" s="219"/>
      <c r="D45" s="58"/>
      <c r="E45" s="40"/>
      <c r="G45" s="59" t="str">
        <f>IF(A45="N/A","",D45+_xlfn.XLOOKUP(A45,StandardBrain[Name],StandardBrain[Bandwidth],,,))</f>
        <v/>
      </c>
      <c r="I45" s="59" t="str">
        <f>_xlfn.XLOOKUP(A45,StandardBrain[Name],StandardBrain[Characteristic],,,)</f>
        <v xml:space="preserve"> </v>
      </c>
      <c r="K45" s="44">
        <f>_xlfn.XLOOKUP(A45,StandardBrain[Name],StandardBrain[TL],,,)+D45</f>
        <v>0</v>
      </c>
      <c r="O45" s="12" t="str">
        <f>IF(_xlfn.XLOOKUP(A45,StandardBrain[Name],StandardBrain[Skill],,,)="","",_xlfn.CONCAT(_xlfn.XLOOKUP(A45,StandardBrain[Name],StandardBrain[Skill],,,),IF(RIGHT(_xlfn.XLOOKUP(A45,StandardBrain[Name],StandardBrain[Skill],,,),1)="(",B45,""),IF(RIGHT(_xlfn.XLOOKUP(A45,StandardBrain[Name],StandardBrain[Skill],,,),1)="(",")","")," ",D45+IF(_xlfn.XLOOKUP(A45,StandardBrain[Name],StandardBrain[Characteristic],,,)="INT",$I$34,IF(ROUNDUP($O$2/2+1,0)&gt;29,8,IF(ROUNDUP($O$2/2+1,0)&gt;26,7,IF(ROUNDUP($O$2/2+1,0)&gt;23,6,IF(ROUNDUP($O$2/2+1,0)&gt;20,5,IF(ROUNDUP($O$2/2+1,0)&gt;17,4,IF(ROUNDUP($O$2/2+1,0)&gt;14,3,IF(ROUNDUP($O$2/2+1,0)&gt;11,2,IF(ROUNDUP($O$2/2+1,0)&gt;8,1,IF(ROUNDUP($O$2/2+1,0)&gt;5,0,IF(ROUNDUP($O$2/2+1,0)&gt;2,-1,-2))))))))))),", "))</f>
        <v/>
      </c>
      <c r="P45" s="137">
        <f>_xlfn.XLOOKUP(A45,StandardBrain[Name],StandardBrain[Cr],,,)*10^(D45)</f>
        <v>0</v>
      </c>
      <c r="R45" s="191"/>
      <c r="S45" s="192"/>
      <c r="T45" s="192"/>
      <c r="U45" s="192"/>
      <c r="V45" s="192"/>
      <c r="W45" s="192"/>
      <c r="X45" s="192"/>
      <c r="Y45" s="192"/>
      <c r="Z45" s="193"/>
    </row>
    <row r="46" spans="1:26" ht="12" customHeight="1" x14ac:dyDescent="0.35">
      <c r="A46" s="30" t="s">
        <v>117</v>
      </c>
      <c r="B46" s="199"/>
      <c r="C46" s="219"/>
      <c r="D46" s="58"/>
      <c r="E46" s="40"/>
      <c r="G46" s="59" t="str">
        <f>IF(A46="N/A","",D46+_xlfn.XLOOKUP(A46,StandardBrain[Name],StandardBrain[Bandwidth],,,))</f>
        <v/>
      </c>
      <c r="I46" s="59" t="str">
        <f>_xlfn.XLOOKUP(A46,StandardBrain[Name],StandardBrain[Characteristic],,,)</f>
        <v xml:space="preserve"> </v>
      </c>
      <c r="K46" s="44">
        <f>_xlfn.XLOOKUP(A46,StandardBrain[Name],StandardBrain[TL],,,)+D46</f>
        <v>0</v>
      </c>
      <c r="O46" s="12" t="str">
        <f>IF(_xlfn.XLOOKUP(A46,StandardBrain[Name],StandardBrain[Skill],,,)="","",_xlfn.CONCAT(_xlfn.XLOOKUP(A46,StandardBrain[Name],StandardBrain[Skill],,,),IF(RIGHT(_xlfn.XLOOKUP(A46,StandardBrain[Name],StandardBrain[Skill],,,),1)="(",B46,""),IF(RIGHT(_xlfn.XLOOKUP(A46,StandardBrain[Name],StandardBrain[Skill],,,),1)="(",")","")," ",D46+IF(_xlfn.XLOOKUP(A46,StandardBrain[Name],StandardBrain[Characteristic],,,)="INT",$I$34,IF(ROUNDUP($O$2/2+1,0)&gt;29,8,IF(ROUNDUP($O$2/2+1,0)&gt;26,7,IF(ROUNDUP($O$2/2+1,0)&gt;23,6,IF(ROUNDUP($O$2/2+1,0)&gt;20,5,IF(ROUNDUP($O$2/2+1,0)&gt;17,4,IF(ROUNDUP($O$2/2+1,0)&gt;14,3,IF(ROUNDUP($O$2/2+1,0)&gt;11,2,IF(ROUNDUP($O$2/2+1,0)&gt;8,1,IF(ROUNDUP($O$2/2+1,0)&gt;5,0,IF(ROUNDUP($O$2/2+1,0)&gt;2,-1,-2))))))))))),", "))</f>
        <v/>
      </c>
      <c r="P46" s="137">
        <f>_xlfn.XLOOKUP(A46,StandardBrain[Name],StandardBrain[Cr],,,)*10^(D46)</f>
        <v>0</v>
      </c>
      <c r="R46" s="191"/>
      <c r="S46" s="192"/>
      <c r="T46" s="192"/>
      <c r="U46" s="192"/>
      <c r="V46" s="192"/>
      <c r="W46" s="192"/>
      <c r="X46" s="192"/>
      <c r="Y46" s="192"/>
      <c r="Z46" s="193"/>
    </row>
    <row r="47" spans="1:26" ht="12" customHeight="1" thickBot="1" x14ac:dyDescent="0.4">
      <c r="A47" s="30" t="s">
        <v>117</v>
      </c>
      <c r="B47" s="199"/>
      <c r="C47" s="219"/>
      <c r="D47" s="58"/>
      <c r="E47" s="40"/>
      <c r="G47" s="59" t="str">
        <f>IF(A47="N/A","",D47+_xlfn.XLOOKUP(A47,StandardBrain[Name],StandardBrain[Bandwidth],,,))</f>
        <v/>
      </c>
      <c r="I47" s="59" t="str">
        <f>_xlfn.XLOOKUP(A47,StandardBrain[Name],StandardBrain[Characteristic],,,)</f>
        <v xml:space="preserve"> </v>
      </c>
      <c r="K47" s="44">
        <f>_xlfn.XLOOKUP(A47,StandardBrain[Name],StandardBrain[TL],,,)+D47</f>
        <v>0</v>
      </c>
      <c r="O47" s="12" t="str">
        <f>IF(_xlfn.XLOOKUP(A47,StandardBrain[Name],StandardBrain[Skill],,,)="","",_xlfn.CONCAT(_xlfn.XLOOKUP(A47,StandardBrain[Name],StandardBrain[Skill],,,),IF(RIGHT(_xlfn.XLOOKUP(A47,StandardBrain[Name],StandardBrain[Skill],,,),1)="(",B47,""),IF(RIGHT(_xlfn.XLOOKUP(A47,StandardBrain[Name],StandardBrain[Skill],,,),1)="(",")","")," ",D47+IF(_xlfn.XLOOKUP(A47,StandardBrain[Name],StandardBrain[Characteristic],,,)="INT",$I$34,IF(ROUNDUP($O$2/2+1,0)&gt;29,8,IF(ROUNDUP($O$2/2+1,0)&gt;26,7,IF(ROUNDUP($O$2/2+1,0)&gt;23,6,IF(ROUNDUP($O$2/2+1,0)&gt;20,5,IF(ROUNDUP($O$2/2+1,0)&gt;17,4,IF(ROUNDUP($O$2/2+1,0)&gt;14,3,IF(ROUNDUP($O$2/2+1,0)&gt;11,2,IF(ROUNDUP($O$2/2+1,0)&gt;8,1,IF(ROUNDUP($O$2/2+1,0)&gt;5,0,IF(ROUNDUP($O$2/2+1,0)&gt;2,-1,-2))))))))))),", "))</f>
        <v/>
      </c>
      <c r="P47" s="137">
        <f>_xlfn.XLOOKUP(A47,StandardBrain[Name],StandardBrain[Cr],,,)*10^(D47)</f>
        <v>0</v>
      </c>
      <c r="R47" s="191"/>
      <c r="S47" s="192"/>
      <c r="T47" s="192"/>
      <c r="U47" s="192"/>
      <c r="V47" s="192"/>
      <c r="W47" s="192"/>
      <c r="X47" s="192"/>
      <c r="Y47" s="192"/>
      <c r="Z47" s="193"/>
    </row>
    <row r="48" spans="1:26" ht="12" customHeight="1" thickBot="1" x14ac:dyDescent="0.45">
      <c r="C48" s="1"/>
      <c r="O48" s="149" t="s">
        <v>822</v>
      </c>
      <c r="P48" s="147">
        <f>ROUNDUP(IF(COUNTIF(A14:D30,"Corrosive*")&gt;0,2,1)*IF(COUNTIF(A14:D30,"Insidious*")&gt;0,5,1)*IF(COUNTIF(A14:D30,"Radiation*")&gt;0,COUNTIF(A14:D30,"Radiation*")*2,1)*SUM(P3:P35)+SUM(P37:P47),0)</f>
        <v>10520</v>
      </c>
      <c r="R48" s="191"/>
      <c r="S48" s="192"/>
      <c r="T48" s="192"/>
      <c r="U48" s="192"/>
      <c r="V48" s="192"/>
      <c r="W48" s="192"/>
      <c r="X48" s="192"/>
      <c r="Y48" s="192"/>
      <c r="Z48" s="193"/>
    </row>
    <row r="49" spans="1:26" ht="12" customHeight="1" thickBot="1" x14ac:dyDescent="0.45">
      <c r="O49" s="149" t="str">
        <f>CONCATENATE("Cost With "&amp;X6*100 &amp; "% Discount")</f>
        <v>Cost With 10% Discount</v>
      </c>
      <c r="P49" s="147">
        <f>P2</f>
        <v>9400</v>
      </c>
      <c r="R49" s="191"/>
      <c r="S49" s="192"/>
      <c r="T49" s="192"/>
      <c r="U49" s="192"/>
      <c r="V49" s="192"/>
      <c r="W49" s="192"/>
      <c r="X49" s="192"/>
      <c r="Y49" s="192"/>
      <c r="Z49" s="193"/>
    </row>
    <row r="50" spans="1:26" ht="12" customHeight="1" x14ac:dyDescent="0.35">
      <c r="R50" s="191"/>
      <c r="S50" s="192"/>
      <c r="T50" s="192"/>
      <c r="U50" s="192"/>
      <c r="V50" s="192"/>
      <c r="W50" s="192"/>
      <c r="X50" s="192"/>
      <c r="Y50" s="192"/>
      <c r="Z50" s="193"/>
    </row>
    <row r="51" spans="1:26" ht="12" customHeight="1" x14ac:dyDescent="0.35">
      <c r="R51" s="191"/>
      <c r="S51" s="192"/>
      <c r="T51" s="192"/>
      <c r="U51" s="192"/>
      <c r="V51" s="192"/>
      <c r="W51" s="192"/>
      <c r="X51" s="192"/>
      <c r="Y51" s="192"/>
      <c r="Z51" s="193"/>
    </row>
    <row r="52" spans="1:26" ht="12" customHeight="1" x14ac:dyDescent="0.35">
      <c r="R52" s="191"/>
      <c r="S52" s="192"/>
      <c r="T52" s="192"/>
      <c r="U52" s="192"/>
      <c r="V52" s="192"/>
      <c r="W52" s="192"/>
      <c r="X52" s="192"/>
      <c r="Y52" s="192"/>
      <c r="Z52" s="193"/>
    </row>
    <row r="53" spans="1:26" ht="12" customHeight="1" x14ac:dyDescent="0.35">
      <c r="R53" s="191"/>
      <c r="S53" s="192"/>
      <c r="T53" s="192"/>
      <c r="U53" s="192"/>
      <c r="V53" s="192"/>
      <c r="W53" s="192"/>
      <c r="X53" s="192"/>
      <c r="Y53" s="192"/>
      <c r="Z53" s="193"/>
    </row>
    <row r="54" spans="1:26" ht="12" customHeight="1" x14ac:dyDescent="0.35">
      <c r="R54" s="191"/>
      <c r="S54" s="192"/>
      <c r="T54" s="192"/>
      <c r="U54" s="192"/>
      <c r="V54" s="192"/>
      <c r="W54" s="192"/>
      <c r="X54" s="192"/>
      <c r="Y54" s="192"/>
      <c r="Z54" s="193"/>
    </row>
    <row r="55" spans="1:26" ht="12" customHeight="1" x14ac:dyDescent="0.35">
      <c r="R55" s="191"/>
      <c r="S55" s="192"/>
      <c r="T55" s="192"/>
      <c r="U55" s="192"/>
      <c r="V55" s="192"/>
      <c r="W55" s="192"/>
      <c r="X55" s="192"/>
      <c r="Y55" s="192"/>
      <c r="Z55" s="193"/>
    </row>
    <row r="56" spans="1:26" ht="12" customHeight="1" x14ac:dyDescent="0.35">
      <c r="R56" s="191"/>
      <c r="S56" s="192"/>
      <c r="T56" s="192"/>
      <c r="U56" s="192"/>
      <c r="V56" s="192"/>
      <c r="W56" s="192"/>
      <c r="X56" s="192"/>
      <c r="Y56" s="192"/>
      <c r="Z56" s="193"/>
    </row>
    <row r="57" spans="1:26" ht="12" customHeight="1" x14ac:dyDescent="0.35">
      <c r="R57" s="191"/>
      <c r="S57" s="192"/>
      <c r="T57" s="192"/>
      <c r="U57" s="192"/>
      <c r="V57" s="192"/>
      <c r="W57" s="192"/>
      <c r="X57" s="192"/>
      <c r="Y57" s="192"/>
      <c r="Z57" s="193"/>
    </row>
    <row r="58" spans="1:26" ht="12" customHeight="1" x14ac:dyDescent="0.35">
      <c r="R58" s="191"/>
      <c r="S58" s="192"/>
      <c r="T58" s="192"/>
      <c r="U58" s="192"/>
      <c r="V58" s="192"/>
      <c r="W58" s="192"/>
      <c r="X58" s="192"/>
      <c r="Y58" s="192"/>
      <c r="Z58" s="193"/>
    </row>
    <row r="59" spans="1:26" ht="12" customHeight="1" x14ac:dyDescent="0.4">
      <c r="B59" s="114"/>
      <c r="D59" s="113"/>
      <c r="E59" s="113"/>
      <c r="R59" s="191"/>
      <c r="S59" s="192"/>
      <c r="T59" s="192"/>
      <c r="U59" s="192"/>
      <c r="V59" s="192"/>
      <c r="W59" s="192"/>
      <c r="X59" s="192"/>
      <c r="Y59" s="192"/>
      <c r="Z59" s="193"/>
    </row>
    <row r="60" spans="1:26" ht="12" customHeight="1" x14ac:dyDescent="0.4">
      <c r="B60" s="114"/>
      <c r="D60" s="113"/>
      <c r="E60" s="113"/>
      <c r="R60" s="191"/>
      <c r="S60" s="192"/>
      <c r="T60" s="192"/>
      <c r="U60" s="192"/>
      <c r="V60" s="192"/>
      <c r="W60" s="192"/>
      <c r="X60" s="192"/>
      <c r="Y60" s="192"/>
      <c r="Z60" s="193"/>
    </row>
    <row r="61" spans="1:26" ht="12" customHeight="1" x14ac:dyDescent="0.35">
      <c r="A61" s="7"/>
      <c r="R61" s="191"/>
      <c r="S61" s="192"/>
      <c r="T61" s="192"/>
      <c r="U61" s="192"/>
      <c r="V61" s="192"/>
      <c r="W61" s="192"/>
      <c r="X61" s="192"/>
      <c r="Y61" s="192"/>
      <c r="Z61" s="193"/>
    </row>
    <row r="62" spans="1:26" ht="12" customHeight="1" x14ac:dyDescent="0.35">
      <c r="B62" s="110"/>
      <c r="R62" s="191"/>
      <c r="S62" s="192"/>
      <c r="T62" s="192"/>
      <c r="U62" s="192"/>
      <c r="V62" s="192"/>
      <c r="W62" s="192"/>
      <c r="X62" s="192"/>
      <c r="Y62" s="192"/>
      <c r="Z62" s="193"/>
    </row>
    <row r="63" spans="1:26" ht="12" customHeight="1" x14ac:dyDescent="0.4">
      <c r="B63" s="111"/>
      <c r="R63" s="191"/>
      <c r="S63" s="192"/>
      <c r="T63" s="192"/>
      <c r="U63" s="192"/>
      <c r="V63" s="192"/>
      <c r="W63" s="192"/>
      <c r="X63" s="192"/>
      <c r="Y63" s="192"/>
      <c r="Z63" s="193"/>
    </row>
    <row r="64" spans="1:26" ht="12" customHeight="1" x14ac:dyDescent="0.35">
      <c r="A64" s="110"/>
      <c r="B64" s="112"/>
      <c r="R64" s="191"/>
      <c r="S64" s="192"/>
      <c r="T64" s="192"/>
      <c r="U64" s="192"/>
      <c r="V64" s="192"/>
      <c r="W64" s="192"/>
      <c r="X64" s="192"/>
      <c r="Y64" s="192"/>
      <c r="Z64" s="193"/>
    </row>
    <row r="65" spans="18:26" ht="12" customHeight="1" x14ac:dyDescent="0.35">
      <c r="R65" s="191"/>
      <c r="S65" s="192"/>
      <c r="T65" s="192"/>
      <c r="U65" s="192"/>
      <c r="V65" s="192"/>
      <c r="W65" s="192"/>
      <c r="X65" s="192"/>
      <c r="Y65" s="192"/>
      <c r="Z65" s="193"/>
    </row>
    <row r="66" spans="18:26" ht="12" customHeight="1" x14ac:dyDescent="0.35">
      <c r="R66" s="191"/>
      <c r="S66" s="192"/>
      <c r="T66" s="192"/>
      <c r="U66" s="192"/>
      <c r="V66" s="192"/>
      <c r="W66" s="192"/>
      <c r="X66" s="192"/>
      <c r="Y66" s="192"/>
      <c r="Z66" s="193"/>
    </row>
    <row r="67" spans="18:26" ht="12" customHeight="1" x14ac:dyDescent="0.35">
      <c r="R67" s="191"/>
      <c r="S67" s="192"/>
      <c r="T67" s="192"/>
      <c r="U67" s="192"/>
      <c r="V67" s="192"/>
      <c r="W67" s="192"/>
      <c r="X67" s="192"/>
      <c r="Y67" s="192"/>
      <c r="Z67" s="193"/>
    </row>
    <row r="68" spans="18:26" ht="12" customHeight="1" x14ac:dyDescent="0.35">
      <c r="R68" s="191"/>
      <c r="S68" s="192"/>
      <c r="T68" s="192"/>
      <c r="U68" s="192"/>
      <c r="V68" s="192"/>
      <c r="W68" s="192"/>
      <c r="X68" s="192"/>
      <c r="Y68" s="192"/>
      <c r="Z68" s="193"/>
    </row>
    <row r="69" spans="18:26" ht="12" customHeight="1" x14ac:dyDescent="0.35">
      <c r="R69" s="191"/>
      <c r="S69" s="192"/>
      <c r="T69" s="192"/>
      <c r="U69" s="192"/>
      <c r="V69" s="192"/>
      <c r="W69" s="192"/>
      <c r="X69" s="192"/>
      <c r="Y69" s="192"/>
      <c r="Z69" s="193"/>
    </row>
    <row r="70" spans="18:26" ht="12" customHeight="1" x14ac:dyDescent="0.35">
      <c r="R70" s="191"/>
      <c r="S70" s="192"/>
      <c r="T70" s="192"/>
      <c r="U70" s="192"/>
      <c r="V70" s="192"/>
      <c r="W70" s="192"/>
      <c r="X70" s="192"/>
      <c r="Y70" s="192"/>
      <c r="Z70" s="193"/>
    </row>
    <row r="71" spans="18:26" ht="12" customHeight="1" x14ac:dyDescent="0.35">
      <c r="R71" s="191"/>
      <c r="S71" s="192"/>
      <c r="T71" s="192"/>
      <c r="U71" s="192"/>
      <c r="V71" s="192"/>
      <c r="W71" s="192"/>
      <c r="X71" s="192"/>
      <c r="Y71" s="192"/>
      <c r="Z71" s="193"/>
    </row>
    <row r="72" spans="18:26" ht="12" customHeight="1" x14ac:dyDescent="0.35">
      <c r="R72" s="191"/>
      <c r="S72" s="192"/>
      <c r="T72" s="192"/>
      <c r="U72" s="192"/>
      <c r="V72" s="192"/>
      <c r="W72" s="192"/>
      <c r="X72" s="192"/>
      <c r="Y72" s="192"/>
      <c r="Z72" s="193"/>
    </row>
    <row r="73" spans="18:26" ht="12" customHeight="1" x14ac:dyDescent="0.35">
      <c r="R73" s="191"/>
      <c r="S73" s="192"/>
      <c r="T73" s="192"/>
      <c r="U73" s="192"/>
      <c r="V73" s="192"/>
      <c r="W73" s="192"/>
      <c r="X73" s="192"/>
      <c r="Y73" s="192"/>
      <c r="Z73" s="193"/>
    </row>
    <row r="74" spans="18:26" ht="12" customHeight="1" x14ac:dyDescent="0.35">
      <c r="R74" s="191"/>
      <c r="S74" s="192"/>
      <c r="T74" s="192"/>
      <c r="U74" s="192"/>
      <c r="V74" s="192"/>
      <c r="W74" s="192"/>
      <c r="X74" s="192"/>
      <c r="Y74" s="192"/>
      <c r="Z74" s="193"/>
    </row>
    <row r="75" spans="18:26" ht="12" customHeight="1" x14ac:dyDescent="0.35">
      <c r="R75" s="194"/>
      <c r="S75" s="195"/>
      <c r="T75" s="195"/>
      <c r="U75" s="195"/>
      <c r="V75" s="195"/>
      <c r="W75" s="195"/>
      <c r="X75" s="195"/>
      <c r="Y75" s="195"/>
      <c r="Z75" s="196"/>
    </row>
  </sheetData>
  <dataConsolidate/>
  <mergeCells count="70">
    <mergeCell ref="G9:H9"/>
    <mergeCell ref="K9:L9"/>
    <mergeCell ref="G10:O10"/>
    <mergeCell ref="B13:D13"/>
    <mergeCell ref="G5:I5"/>
    <mergeCell ref="H6:N6"/>
    <mergeCell ref="G7:I7"/>
    <mergeCell ref="G8:I8"/>
    <mergeCell ref="K8:M8"/>
    <mergeCell ref="H13:J13"/>
    <mergeCell ref="B2:D2"/>
    <mergeCell ref="F2:H2"/>
    <mergeCell ref="I2:M2"/>
    <mergeCell ref="G3:J3"/>
    <mergeCell ref="G4:I4"/>
    <mergeCell ref="K4:L4"/>
    <mergeCell ref="A14:D14"/>
    <mergeCell ref="H14:J14"/>
    <mergeCell ref="A15:D15"/>
    <mergeCell ref="H15:J15"/>
    <mergeCell ref="H16:J16"/>
    <mergeCell ref="H23:J23"/>
    <mergeCell ref="A17:D17"/>
    <mergeCell ref="H17:J17"/>
    <mergeCell ref="H19:J19"/>
    <mergeCell ref="A20:D20"/>
    <mergeCell ref="H20:J20"/>
    <mergeCell ref="A18:D18"/>
    <mergeCell ref="H18:J18"/>
    <mergeCell ref="A19:D19"/>
    <mergeCell ref="B39:D39"/>
    <mergeCell ref="B41:C41"/>
    <mergeCell ref="A30:D30"/>
    <mergeCell ref="H30:J30"/>
    <mergeCell ref="A27:D27"/>
    <mergeCell ref="H27:J27"/>
    <mergeCell ref="A28:D28"/>
    <mergeCell ref="H28:J28"/>
    <mergeCell ref="A29:D29"/>
    <mergeCell ref="H29:J29"/>
    <mergeCell ref="S7:Z7"/>
    <mergeCell ref="B33:D33"/>
    <mergeCell ref="B37:D37"/>
    <mergeCell ref="B38:D38"/>
    <mergeCell ref="A24:D24"/>
    <mergeCell ref="H24:J24"/>
    <mergeCell ref="A25:D25"/>
    <mergeCell ref="H25:J25"/>
    <mergeCell ref="A26:D26"/>
    <mergeCell ref="H26:J26"/>
    <mergeCell ref="A21:D21"/>
    <mergeCell ref="H21:J21"/>
    <mergeCell ref="A22:D22"/>
    <mergeCell ref="H22:J22"/>
    <mergeCell ref="A23:D23"/>
    <mergeCell ref="A16:D16"/>
    <mergeCell ref="B45:C45"/>
    <mergeCell ref="B46:C46"/>
    <mergeCell ref="B47:C47"/>
    <mergeCell ref="B42:C42"/>
    <mergeCell ref="B43:C43"/>
    <mergeCell ref="B44:C44"/>
    <mergeCell ref="R20:Z75"/>
    <mergeCell ref="S13:Z17"/>
    <mergeCell ref="S8:Z8"/>
    <mergeCell ref="S9:Z9"/>
    <mergeCell ref="S10:Z10"/>
    <mergeCell ref="S11:Z11"/>
    <mergeCell ref="S12:Z12"/>
    <mergeCell ref="R13:R17"/>
  </mergeCells>
  <conditionalFormatting sqref="A22:D30">
    <cfRule type="expression" dxfId="202" priority="9">
      <formula>$O$2&lt;9</formula>
    </cfRule>
  </conditionalFormatting>
  <conditionalFormatting sqref="A23:D30">
    <cfRule type="expression" dxfId="201" priority="8">
      <formula>$O$2&lt;10</formula>
    </cfRule>
  </conditionalFormatting>
  <conditionalFormatting sqref="A24:D30">
    <cfRule type="expression" dxfId="200" priority="7">
      <formula>$O$2&lt;11</formula>
    </cfRule>
  </conditionalFormatting>
  <conditionalFormatting sqref="A25:D30">
    <cfRule type="expression" dxfId="199" priority="6">
      <formula>$O$2&lt;12</formula>
    </cfRule>
  </conditionalFormatting>
  <conditionalFormatting sqref="A26:D30">
    <cfRule type="expression" dxfId="198" priority="5">
      <formula>$O$2&lt;13</formula>
    </cfRule>
  </conditionalFormatting>
  <conditionalFormatting sqref="A27:D30">
    <cfRule type="expression" dxfId="197" priority="4">
      <formula>$O$2&lt;14</formula>
    </cfRule>
  </conditionalFormatting>
  <conditionalFormatting sqref="A28:D30">
    <cfRule type="expression" dxfId="196" priority="3">
      <formula>$O$2&lt;15</formula>
    </cfRule>
  </conditionalFormatting>
  <conditionalFormatting sqref="A29:D30">
    <cfRule type="expression" dxfId="195" priority="2">
      <formula>$O$2&lt;16</formula>
    </cfRule>
  </conditionalFormatting>
  <conditionalFormatting sqref="A30:D30">
    <cfRule type="expression" dxfId="194" priority="1">
      <formula>$O$2&lt;17</formula>
    </cfRule>
  </conditionalFormatting>
  <conditionalFormatting sqref="B12">
    <cfRule type="expression" dxfId="193" priority="42">
      <formula>ABS($J$12-6) &gt; 6</formula>
    </cfRule>
  </conditionalFormatting>
  <conditionalFormatting sqref="E2">
    <cfRule type="expression" dxfId="192" priority="40">
      <formula>$E$2&lt;0</formula>
    </cfRule>
  </conditionalFormatting>
  <conditionalFormatting sqref="K5 K33:K35 K41:K47">
    <cfRule type="expression" dxfId="191" priority="41">
      <formula>K5&gt;$O$2</formula>
    </cfRule>
  </conditionalFormatting>
  <conditionalFormatting sqref="K14:K30">
    <cfRule type="expression" dxfId="190" priority="10">
      <formula>K14&gt;$O$2</formula>
    </cfRule>
  </conditionalFormatting>
  <conditionalFormatting sqref="L35">
    <cfRule type="expression" dxfId="189" priority="39">
      <formula>L35&lt;0</formula>
    </cfRule>
  </conditionalFormatting>
  <dataValidations disablePrompts="1" count="11">
    <dataValidation type="whole" allowBlank="1" showInputMessage="1" showErrorMessage="1" error="Must be a negative number no less than a 50% of the base hits" sqref="B9" xr:uid="{3E779DC7-958E-4D5A-A144-6D5FB0332FF8}">
      <formula1>-J4/2</formula1>
      <formula2>0</formula2>
    </dataValidation>
    <dataValidation type="whole" allowBlank="1" showInputMessage="1" showErrorMessage="1" sqref="E9" xr:uid="{55E9AE5B-4244-4289-8BD4-A0A7EC9F3F7B}">
      <formula1>0</formula1>
      <formula2>J4/2</formula2>
    </dataValidation>
    <dataValidation type="list" allowBlank="1" showInputMessage="1" showErrorMessage="1" error="Only Size 0 allowed" sqref="B4" xr:uid="{96964F1B-8F21-4F29-A241-F8787B71E5B5}">
      <formula1>"0"</formula1>
    </dataValidation>
    <dataValidation type="list" allowBlank="1" showInputMessage="1" showErrorMessage="1" sqref="O2" xr:uid="{A42F67D3-7F4D-4858-8EE5-4298F9D7A11A}">
      <formula1>"8,9,10,11,12,13,14,15,16,17,18"</formula1>
    </dataValidation>
    <dataValidation type="list" allowBlank="1" showInputMessage="1" showErrorMessage="1" sqref="B35 B8" xr:uid="{BA57856E-DD5D-49D6-A9F0-47702F2032E1}">
      <formula1>"TRUE,FALSE"</formula1>
    </dataValidation>
    <dataValidation type="list" allowBlank="1" showInputMessage="1" showErrorMessage="1" sqref="B11" xr:uid="{72C93B15-0C3F-4781-93A4-E27F4682E74F}">
      <formula1>"0,1,2,3,4"</formula1>
    </dataValidation>
    <dataValidation type="list" allowBlank="1" showInputMessage="1" showErrorMessage="1" sqref="D41:D47 B34" xr:uid="{BA301B31-A7D7-47CF-B0D8-215B895705D5}">
      <formula1>"0,1,2,3"</formula1>
    </dataValidation>
    <dataValidation type="whole" allowBlank="1" showInputMessage="1" showErrorMessage="1" error="Must be whole number between -6 and +12" sqref="B12" xr:uid="{1E3C1A95-5A48-4A54-BA3A-D94BA3079CB4}">
      <formula1>-6</formula1>
      <formula2>12</formula2>
    </dataValidation>
    <dataValidation type="whole" allowBlank="1" showInputMessage="1" showErrorMessage="1" sqref="C9:D9" xr:uid="{819E186E-BECF-4887-A96E-0A52DF16233B}">
      <formula1>0</formula1>
      <formula2>D4/2</formula2>
    </dataValidation>
    <dataValidation type="whole" allowBlank="1" showInputMessage="1" showErrorMessage="1" sqref="C11:D11" xr:uid="{C450E44E-FF35-4127-8DD9-E80232C57B49}">
      <formula1>0</formula1>
      <formula2>D5/2</formula2>
    </dataValidation>
    <dataValidation type="whole" allowBlank="1" showInputMessage="1" showErrorMessage="1" sqref="E11:E12 C12:D12" xr:uid="{F4F001D9-87E2-4E2F-83F1-B3CA2AA2A706}">
      <formula1>0</formula1>
      <formula2>#REF!/2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9950C27E-D2CF-4E53-8F1E-76FCB318ED93}">
          <x14:formula1>
            <xm:f>Packages!$B$3:$B$7</xm:f>
          </x14:formula1>
          <xm:sqref>B37</xm:sqref>
        </x14:dataValidation>
        <x14:dataValidation type="list" allowBlank="1" showInputMessage="1" showErrorMessage="1" xr:uid="{7BC31E0B-7E05-4C7B-A9E9-3445F24EA4B1}">
          <x14:formula1>
            <xm:f>Packages!$B$23:$B$25</xm:f>
          </x14:formula1>
          <xm:sqref>B39</xm:sqref>
        </x14:dataValidation>
        <x14:dataValidation type="list" allowBlank="1" showInputMessage="1" showErrorMessage="1" xr:uid="{0C56DEBA-8153-4DB1-9D63-03BAC0E474E7}">
          <x14:formula1>
            <xm:f>Brains!$B$24:$B$29</xm:f>
          </x14:formula1>
          <xm:sqref>B33:D33</xm:sqref>
        </x14:dataValidation>
        <x14:dataValidation type="list" allowBlank="1" showInputMessage="1" showErrorMessage="1" xr:uid="{B6FDF425-6839-4721-A795-F02D46BBD4C9}">
          <x14:formula1>
            <xm:f>Packages!$B$11:$B$19</xm:f>
          </x14:formula1>
          <xm:sqref>B38</xm:sqref>
        </x14:dataValidation>
        <x14:dataValidation type="list" allowBlank="1" showInputMessage="1" showErrorMessage="1" xr:uid="{7CBF6EDA-83DD-4A4C-834D-F305170615E9}">
          <x14:formula1>
            <xm:f>Chassis!$H$3:$H$13</xm:f>
          </x14:formula1>
          <xm:sqref>B5</xm:sqref>
        </x14:dataValidation>
        <x14:dataValidation type="list" allowBlank="1" showInputMessage="1" showErrorMessage="1" xr:uid="{A5271081-9D15-45F5-9148-2DF5861F6E3E}">
          <x14:formula1>
            <xm:f>Packages!$B$29:$B$82</xm:f>
          </x14:formula1>
          <xm:sqref>A41:A47</xm:sqref>
        </x14:dataValidation>
        <x14:dataValidation type="list" allowBlank="1" showInputMessage="1" showErrorMessage="1" xr:uid="{963D9FEA-DF72-422B-A201-E1D3EB67FFEB}">
          <x14:formula1>
            <xm:f>Options!$C$3:$C$71</xm:f>
          </x14:formula1>
          <xm:sqref>A14:D30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8D7C-DE24-40F1-B619-11F3CE028AF0}">
  <sheetPr>
    <tabColor rgb="FFFFC000"/>
  </sheetPr>
  <dimension ref="B1:AB34"/>
  <sheetViews>
    <sheetView workbookViewId="0">
      <selection activeCell="F35" sqref="F35"/>
    </sheetView>
  </sheetViews>
  <sheetFormatPr defaultRowHeight="11.65" x14ac:dyDescent="0.35"/>
  <cols>
    <col min="1" max="1" width="2.75" customWidth="1"/>
    <col min="3" max="3" width="12.25" customWidth="1"/>
    <col min="4" max="4" width="12.4140625" customWidth="1"/>
    <col min="5" max="5" width="11.4140625" customWidth="1"/>
    <col min="6" max="6" width="9.75" customWidth="1"/>
    <col min="8" max="8" width="16.83203125" bestFit="1" customWidth="1"/>
    <col min="9" max="9" width="5.4140625" customWidth="1"/>
    <col min="11" max="11" width="9.25" customWidth="1"/>
    <col min="13" max="13" width="13.75" bestFit="1" customWidth="1"/>
    <col min="14" max="14" width="12.83203125" customWidth="1"/>
    <col min="15" max="16" width="2.75" customWidth="1"/>
    <col min="22" max="23" width="11.58203125" customWidth="1"/>
    <col min="24" max="24" width="2.75" customWidth="1"/>
    <col min="25" max="25" width="14" customWidth="1"/>
    <col min="26" max="27" width="10.83203125" customWidth="1"/>
    <col min="29" max="30" width="2.75" customWidth="1"/>
  </cols>
  <sheetData>
    <row r="1" spans="2:28" x14ac:dyDescent="0.35">
      <c r="B1" t="s">
        <v>16</v>
      </c>
      <c r="H1" t="s">
        <v>22</v>
      </c>
      <c r="Q1" t="s">
        <v>58</v>
      </c>
      <c r="Y1" t="s">
        <v>174</v>
      </c>
    </row>
    <row r="2" spans="2:28" x14ac:dyDescent="0.35">
      <c r="B2" t="s">
        <v>17</v>
      </c>
      <c r="C2" t="s">
        <v>18</v>
      </c>
      <c r="D2" t="s">
        <v>21</v>
      </c>
      <c r="E2" t="s">
        <v>19</v>
      </c>
      <c r="F2" t="s">
        <v>20</v>
      </c>
      <c r="H2" t="s">
        <v>23</v>
      </c>
      <c r="I2" t="s">
        <v>4</v>
      </c>
      <c r="J2" t="s">
        <v>34</v>
      </c>
      <c r="K2" t="s">
        <v>24</v>
      </c>
      <c r="L2" t="s">
        <v>25</v>
      </c>
      <c r="M2" t="s">
        <v>169</v>
      </c>
      <c r="N2" t="s">
        <v>35</v>
      </c>
      <c r="Q2" t="s">
        <v>4</v>
      </c>
      <c r="R2" t="s">
        <v>59</v>
      </c>
      <c r="S2" t="s">
        <v>61</v>
      </c>
      <c r="T2" t="s">
        <v>5</v>
      </c>
      <c r="U2" t="s">
        <v>10</v>
      </c>
      <c r="V2" t="s">
        <v>60</v>
      </c>
      <c r="W2" t="s">
        <v>759</v>
      </c>
      <c r="Y2" t="s">
        <v>173</v>
      </c>
      <c r="Z2" t="s">
        <v>172</v>
      </c>
      <c r="AA2" t="s">
        <v>175</v>
      </c>
      <c r="AB2" t="s">
        <v>170</v>
      </c>
    </row>
    <row r="3" spans="2:28" x14ac:dyDescent="0.35">
      <c r="B3">
        <v>0</v>
      </c>
      <c r="C3">
        <v>10</v>
      </c>
      <c r="D3">
        <v>0</v>
      </c>
      <c r="E3">
        <v>1</v>
      </c>
      <c r="F3">
        <v>-4</v>
      </c>
      <c r="H3" t="s">
        <v>26</v>
      </c>
      <c r="I3">
        <v>5</v>
      </c>
      <c r="J3">
        <v>1</v>
      </c>
      <c r="K3" s="17" t="s">
        <v>13</v>
      </c>
      <c r="M3" t="s">
        <v>26</v>
      </c>
      <c r="N3">
        <v>216</v>
      </c>
      <c r="Q3">
        <v>5</v>
      </c>
      <c r="R3">
        <v>1</v>
      </c>
      <c r="S3">
        <v>15</v>
      </c>
      <c r="T3" s="2">
        <v>0.03</v>
      </c>
      <c r="U3" s="3">
        <v>1.4999999999999999E-2</v>
      </c>
      <c r="V3">
        <v>1</v>
      </c>
      <c r="W3">
        <v>200</v>
      </c>
      <c r="Y3" t="s">
        <v>522</v>
      </c>
      <c r="Z3">
        <v>0</v>
      </c>
      <c r="AA3">
        <v>0</v>
      </c>
      <c r="AB3">
        <v>0</v>
      </c>
    </row>
    <row r="4" spans="2:28" x14ac:dyDescent="0.35">
      <c r="B4">
        <v>1</v>
      </c>
      <c r="C4">
        <v>100</v>
      </c>
      <c r="D4">
        <v>1</v>
      </c>
      <c r="E4">
        <v>1</v>
      </c>
      <c r="F4" s="17">
        <v>-4</v>
      </c>
      <c r="H4" t="s">
        <v>27</v>
      </c>
      <c r="I4">
        <v>5</v>
      </c>
      <c r="J4">
        <v>2</v>
      </c>
      <c r="K4" s="17">
        <v>0</v>
      </c>
      <c r="M4" t="s">
        <v>533</v>
      </c>
      <c r="N4">
        <v>72</v>
      </c>
      <c r="Q4">
        <v>6</v>
      </c>
      <c r="R4">
        <v>2</v>
      </c>
      <c r="S4">
        <v>20</v>
      </c>
      <c r="T4" s="2">
        <v>0.02</v>
      </c>
      <c r="U4" s="2">
        <v>0.01</v>
      </c>
      <c r="V4">
        <v>1</v>
      </c>
      <c r="W4">
        <v>250</v>
      </c>
      <c r="Y4" t="s">
        <v>523</v>
      </c>
      <c r="Z4">
        <v>1</v>
      </c>
      <c r="AA4">
        <v>1</v>
      </c>
      <c r="AB4">
        <v>20</v>
      </c>
    </row>
    <row r="5" spans="2:28" x14ac:dyDescent="0.35">
      <c r="B5">
        <v>2</v>
      </c>
      <c r="C5">
        <v>200</v>
      </c>
      <c r="D5">
        <v>2</v>
      </c>
      <c r="E5">
        <v>4</v>
      </c>
      <c r="F5" s="17">
        <v>-3</v>
      </c>
      <c r="H5" t="s">
        <v>600</v>
      </c>
      <c r="I5">
        <v>5</v>
      </c>
      <c r="J5">
        <v>3</v>
      </c>
      <c r="K5" s="17">
        <v>0</v>
      </c>
      <c r="L5" t="s">
        <v>345</v>
      </c>
      <c r="M5" t="s">
        <v>533</v>
      </c>
      <c r="N5">
        <v>72</v>
      </c>
      <c r="Q5">
        <v>7</v>
      </c>
      <c r="R5">
        <v>2</v>
      </c>
      <c r="S5">
        <v>20</v>
      </c>
      <c r="T5" s="2">
        <v>0.02</v>
      </c>
      <c r="U5" s="2">
        <v>0.01</v>
      </c>
      <c r="V5">
        <v>1</v>
      </c>
      <c r="W5">
        <v>250</v>
      </c>
      <c r="Y5" t="s">
        <v>524</v>
      </c>
      <c r="Z5">
        <v>2</v>
      </c>
      <c r="AA5">
        <v>20</v>
      </c>
      <c r="AB5">
        <v>50</v>
      </c>
    </row>
    <row r="6" spans="2:28" x14ac:dyDescent="0.35">
      <c r="B6">
        <v>3</v>
      </c>
      <c r="C6">
        <v>400</v>
      </c>
      <c r="D6">
        <v>4</v>
      </c>
      <c r="E6">
        <v>8</v>
      </c>
      <c r="F6" s="17">
        <v>-2</v>
      </c>
      <c r="H6" t="s">
        <v>28</v>
      </c>
      <c r="I6">
        <v>5</v>
      </c>
      <c r="J6">
        <v>2</v>
      </c>
      <c r="K6" s="17">
        <v>-1</v>
      </c>
      <c r="L6" t="s">
        <v>345</v>
      </c>
      <c r="M6" t="s">
        <v>534</v>
      </c>
      <c r="N6">
        <v>72</v>
      </c>
      <c r="Q6">
        <v>8</v>
      </c>
      <c r="R6">
        <v>2</v>
      </c>
      <c r="S6">
        <v>20</v>
      </c>
      <c r="T6" s="2">
        <v>0.02</v>
      </c>
      <c r="U6" s="2">
        <v>0.01</v>
      </c>
      <c r="V6">
        <v>1</v>
      </c>
      <c r="W6">
        <v>250</v>
      </c>
      <c r="Y6" t="s">
        <v>525</v>
      </c>
      <c r="Z6">
        <v>3</v>
      </c>
      <c r="AA6">
        <v>50</v>
      </c>
      <c r="AB6">
        <v>100</v>
      </c>
    </row>
    <row r="7" spans="2:28" x14ac:dyDescent="0.35">
      <c r="B7">
        <v>4</v>
      </c>
      <c r="C7">
        <v>800</v>
      </c>
      <c r="D7">
        <v>8</v>
      </c>
      <c r="E7">
        <v>12</v>
      </c>
      <c r="F7" s="17">
        <v>-1</v>
      </c>
      <c r="H7" t="s">
        <v>29</v>
      </c>
      <c r="I7">
        <v>9</v>
      </c>
      <c r="J7">
        <v>20</v>
      </c>
      <c r="K7" s="17">
        <v>1</v>
      </c>
      <c r="L7" t="s">
        <v>346</v>
      </c>
      <c r="M7" t="s">
        <v>535</v>
      </c>
      <c r="N7">
        <v>24</v>
      </c>
      <c r="Q7">
        <v>9</v>
      </c>
      <c r="R7">
        <v>3</v>
      </c>
      <c r="S7">
        <v>30</v>
      </c>
      <c r="T7" s="2">
        <v>0.01</v>
      </c>
      <c r="U7" s="3">
        <v>5.0000000000000001E-3</v>
      </c>
      <c r="V7">
        <v>2</v>
      </c>
      <c r="W7">
        <v>1000</v>
      </c>
      <c r="Y7" t="s">
        <v>526</v>
      </c>
      <c r="Z7">
        <v>4</v>
      </c>
      <c r="AA7">
        <v>100</v>
      </c>
      <c r="AB7">
        <v>200</v>
      </c>
    </row>
    <row r="8" spans="2:28" x14ac:dyDescent="0.35">
      <c r="B8">
        <v>5</v>
      </c>
      <c r="C8">
        <v>1000</v>
      </c>
      <c r="D8">
        <v>16</v>
      </c>
      <c r="E8">
        <v>20</v>
      </c>
      <c r="F8" s="17">
        <v>0</v>
      </c>
      <c r="G8">
        <v>1</v>
      </c>
      <c r="H8" t="s">
        <v>614</v>
      </c>
      <c r="I8">
        <v>5</v>
      </c>
      <c r="J8">
        <v>12</v>
      </c>
      <c r="K8" s="17">
        <v>1</v>
      </c>
      <c r="L8" t="s">
        <v>346</v>
      </c>
      <c r="M8" t="s">
        <v>536</v>
      </c>
      <c r="N8">
        <v>12</v>
      </c>
      <c r="Q8">
        <v>10</v>
      </c>
      <c r="R8">
        <v>3</v>
      </c>
      <c r="S8">
        <v>30</v>
      </c>
      <c r="T8" s="2">
        <v>0.01</v>
      </c>
      <c r="U8" s="3">
        <v>5.0000000000000001E-3</v>
      </c>
      <c r="V8">
        <v>2</v>
      </c>
      <c r="W8">
        <v>1000</v>
      </c>
      <c r="Y8" t="s">
        <v>527</v>
      </c>
      <c r="Z8">
        <v>5</v>
      </c>
      <c r="AA8">
        <v>200</v>
      </c>
      <c r="AB8">
        <v>300</v>
      </c>
    </row>
    <row r="9" spans="2:28" x14ac:dyDescent="0.35">
      <c r="B9">
        <v>6</v>
      </c>
      <c r="C9">
        <v>2000</v>
      </c>
      <c r="D9">
        <v>32</v>
      </c>
      <c r="E9">
        <v>32</v>
      </c>
      <c r="F9" s="17">
        <v>1</v>
      </c>
      <c r="H9" t="s">
        <v>30</v>
      </c>
      <c r="I9">
        <v>6</v>
      </c>
      <c r="J9">
        <v>4</v>
      </c>
      <c r="K9" s="17">
        <v>-2</v>
      </c>
      <c r="L9" t="s">
        <v>347</v>
      </c>
      <c r="M9" t="s">
        <v>534</v>
      </c>
      <c r="N9">
        <v>72</v>
      </c>
      <c r="Q9">
        <v>11</v>
      </c>
      <c r="R9">
        <v>3</v>
      </c>
      <c r="S9">
        <v>30</v>
      </c>
      <c r="T9" s="2">
        <v>0.01</v>
      </c>
      <c r="U9" s="3">
        <v>5.0000000000000001E-3</v>
      </c>
      <c r="V9">
        <v>2</v>
      </c>
      <c r="W9">
        <v>1000</v>
      </c>
      <c r="Y9" t="s">
        <v>528</v>
      </c>
      <c r="Z9">
        <v>6</v>
      </c>
      <c r="AA9">
        <v>300</v>
      </c>
      <c r="AB9">
        <v>500</v>
      </c>
    </row>
    <row r="10" spans="2:28" x14ac:dyDescent="0.35">
      <c r="B10">
        <v>7</v>
      </c>
      <c r="C10">
        <v>4000</v>
      </c>
      <c r="D10">
        <v>64</v>
      </c>
      <c r="E10">
        <v>50</v>
      </c>
      <c r="F10" s="17">
        <v>2</v>
      </c>
      <c r="H10" t="s">
        <v>31</v>
      </c>
      <c r="I10">
        <v>7</v>
      </c>
      <c r="J10">
        <v>14</v>
      </c>
      <c r="K10" s="17">
        <v>0</v>
      </c>
      <c r="L10" t="s">
        <v>346</v>
      </c>
      <c r="M10" t="s">
        <v>536</v>
      </c>
      <c r="N10">
        <v>24</v>
      </c>
      <c r="Q10">
        <v>12</v>
      </c>
      <c r="R10">
        <v>4</v>
      </c>
      <c r="S10">
        <v>40</v>
      </c>
      <c r="T10" s="3">
        <v>5.0000000000000001E-3</v>
      </c>
      <c r="U10" s="3">
        <v>4.0000000000000001E-3</v>
      </c>
      <c r="V10">
        <v>3</v>
      </c>
      <c r="W10">
        <v>1500</v>
      </c>
      <c r="Y10" t="s">
        <v>529</v>
      </c>
      <c r="Z10">
        <v>7</v>
      </c>
      <c r="AA10">
        <v>500</v>
      </c>
      <c r="AB10">
        <v>800</v>
      </c>
    </row>
    <row r="11" spans="2:28" x14ac:dyDescent="0.35">
      <c r="B11">
        <v>8</v>
      </c>
      <c r="C11">
        <v>8000</v>
      </c>
      <c r="D11">
        <v>128</v>
      </c>
      <c r="E11">
        <v>72</v>
      </c>
      <c r="F11" s="17">
        <v>3</v>
      </c>
      <c r="H11" t="s">
        <v>32</v>
      </c>
      <c r="I11">
        <v>8</v>
      </c>
      <c r="J11">
        <v>10</v>
      </c>
      <c r="K11" s="17">
        <v>0</v>
      </c>
      <c r="L11" t="s">
        <v>345</v>
      </c>
      <c r="M11" t="s">
        <v>534</v>
      </c>
      <c r="N11">
        <v>72</v>
      </c>
      <c r="Q11">
        <v>13</v>
      </c>
      <c r="R11">
        <v>4</v>
      </c>
      <c r="S11">
        <v>40</v>
      </c>
      <c r="T11" s="3">
        <v>5.0000000000000001E-3</v>
      </c>
      <c r="U11" s="3">
        <v>4.0000000000000001E-3</v>
      </c>
      <c r="V11">
        <v>3</v>
      </c>
      <c r="W11">
        <v>1500</v>
      </c>
      <c r="Y11" t="s">
        <v>530</v>
      </c>
      <c r="Z11">
        <v>8</v>
      </c>
      <c r="AA11">
        <v>800</v>
      </c>
      <c r="AB11">
        <v>1200</v>
      </c>
    </row>
    <row r="12" spans="2:28" x14ac:dyDescent="0.35">
      <c r="B12">
        <v>9</v>
      </c>
      <c r="C12">
        <v>16000</v>
      </c>
      <c r="D12">
        <v>256</v>
      </c>
      <c r="E12">
        <v>100</v>
      </c>
      <c r="F12" s="17">
        <v>4</v>
      </c>
      <c r="H12" t="s">
        <v>33</v>
      </c>
      <c r="I12">
        <v>7</v>
      </c>
      <c r="J12">
        <v>10</v>
      </c>
      <c r="K12" s="17">
        <v>1</v>
      </c>
      <c r="L12" t="s">
        <v>348</v>
      </c>
      <c r="M12" t="s">
        <v>536</v>
      </c>
      <c r="N12">
        <v>24</v>
      </c>
      <c r="Q12">
        <v>14</v>
      </c>
      <c r="R12">
        <v>4</v>
      </c>
      <c r="S12">
        <v>40</v>
      </c>
      <c r="T12" s="3">
        <v>5.0000000000000001E-3</v>
      </c>
      <c r="U12" s="3">
        <v>4.0000000000000001E-3</v>
      </c>
      <c r="V12">
        <v>3</v>
      </c>
      <c r="W12">
        <v>1500</v>
      </c>
      <c r="Y12" t="s">
        <v>531</v>
      </c>
      <c r="Z12">
        <v>9</v>
      </c>
      <c r="AA12">
        <v>1200</v>
      </c>
      <c r="AB12">
        <v>6000</v>
      </c>
    </row>
    <row r="13" spans="2:28" x14ac:dyDescent="0.35">
      <c r="B13">
        <v>10</v>
      </c>
      <c r="C13">
        <v>32000</v>
      </c>
      <c r="D13">
        <v>512</v>
      </c>
      <c r="E13">
        <v>136</v>
      </c>
      <c r="F13" s="17">
        <v>5</v>
      </c>
      <c r="H13" t="s">
        <v>290</v>
      </c>
      <c r="I13">
        <v>7</v>
      </c>
      <c r="J13">
        <v>20</v>
      </c>
      <c r="K13" s="17">
        <v>1</v>
      </c>
      <c r="M13" t="s">
        <v>537</v>
      </c>
      <c r="N13">
        <v>2</v>
      </c>
      <c r="Q13">
        <v>15</v>
      </c>
      <c r="R13">
        <v>4</v>
      </c>
      <c r="S13">
        <v>50</v>
      </c>
      <c r="T13" s="3">
        <v>2.5000000000000001E-3</v>
      </c>
      <c r="U13" s="3">
        <v>3.0000000000000001E-3</v>
      </c>
      <c r="V13">
        <v>4</v>
      </c>
      <c r="W13">
        <v>2500</v>
      </c>
      <c r="Y13" t="s">
        <v>532</v>
      </c>
      <c r="Z13">
        <v>10</v>
      </c>
      <c r="AA13">
        <v>6000</v>
      </c>
      <c r="AB13">
        <v>24000</v>
      </c>
    </row>
    <row r="14" spans="2:28" x14ac:dyDescent="0.35">
      <c r="B14">
        <v>11</v>
      </c>
      <c r="C14">
        <v>64000</v>
      </c>
      <c r="D14">
        <v>1024</v>
      </c>
      <c r="E14">
        <v>176</v>
      </c>
      <c r="F14" s="17">
        <v>6</v>
      </c>
      <c r="Q14">
        <v>16</v>
      </c>
      <c r="R14">
        <v>4</v>
      </c>
      <c r="S14">
        <v>50</v>
      </c>
      <c r="T14" s="3">
        <v>2.5000000000000001E-3</v>
      </c>
      <c r="U14" s="3">
        <v>3.0000000000000001E-3</v>
      </c>
      <c r="V14">
        <v>4</v>
      </c>
      <c r="W14">
        <v>2500</v>
      </c>
    </row>
    <row r="15" spans="2:28" x14ac:dyDescent="0.35">
      <c r="B15">
        <v>12</v>
      </c>
      <c r="C15">
        <v>128000</v>
      </c>
      <c r="D15">
        <v>2048</v>
      </c>
      <c r="E15">
        <v>220</v>
      </c>
      <c r="F15" s="17">
        <v>7</v>
      </c>
      <c r="Q15">
        <v>17</v>
      </c>
      <c r="R15">
        <v>4</v>
      </c>
      <c r="S15">
        <v>50</v>
      </c>
      <c r="T15" s="3">
        <v>2.5000000000000001E-3</v>
      </c>
      <c r="U15" s="3">
        <v>3.0000000000000001E-3</v>
      </c>
      <c r="V15">
        <v>4</v>
      </c>
      <c r="W15">
        <v>2500</v>
      </c>
    </row>
    <row r="16" spans="2:28" x14ac:dyDescent="0.35">
      <c r="Q16">
        <v>18</v>
      </c>
      <c r="R16">
        <v>5</v>
      </c>
      <c r="S16">
        <v>60</v>
      </c>
      <c r="T16" s="3">
        <v>1E-3</v>
      </c>
      <c r="U16" s="3">
        <v>2.5000000000000001E-3</v>
      </c>
      <c r="V16">
        <v>5</v>
      </c>
      <c r="W16">
        <v>5000</v>
      </c>
    </row>
    <row r="19" spans="2:4" x14ac:dyDescent="0.35">
      <c r="B19">
        <v>5</v>
      </c>
      <c r="C19">
        <v>1</v>
      </c>
      <c r="D19">
        <f t="shared" ref="D19:D25" si="0">POWER(C19,1/3)</f>
        <v>1</v>
      </c>
    </row>
    <row r="20" spans="2:4" x14ac:dyDescent="0.35">
      <c r="B20">
        <v>6</v>
      </c>
      <c r="C20">
        <f>C19*2</f>
        <v>2</v>
      </c>
      <c r="D20">
        <f t="shared" si="0"/>
        <v>1.2599210498948732</v>
      </c>
    </row>
    <row r="21" spans="2:4" x14ac:dyDescent="0.35">
      <c r="B21">
        <v>7</v>
      </c>
      <c r="C21">
        <f t="shared" ref="C21:C34" si="1">C20*2</f>
        <v>4</v>
      </c>
      <c r="D21">
        <f t="shared" si="0"/>
        <v>1.5874010519681994</v>
      </c>
    </row>
    <row r="22" spans="2:4" x14ac:dyDescent="0.35">
      <c r="B22">
        <v>8</v>
      </c>
      <c r="C22">
        <f t="shared" si="1"/>
        <v>8</v>
      </c>
      <c r="D22">
        <f t="shared" si="0"/>
        <v>1.9999999999999998</v>
      </c>
    </row>
    <row r="23" spans="2:4" x14ac:dyDescent="0.35">
      <c r="B23">
        <v>9</v>
      </c>
      <c r="C23">
        <f t="shared" si="1"/>
        <v>16</v>
      </c>
      <c r="D23">
        <f t="shared" si="0"/>
        <v>2.5198420997897459</v>
      </c>
    </row>
    <row r="24" spans="2:4" x14ac:dyDescent="0.35">
      <c r="B24">
        <v>10</v>
      </c>
      <c r="C24">
        <f t="shared" si="1"/>
        <v>32</v>
      </c>
      <c r="D24">
        <f t="shared" si="0"/>
        <v>3.1748021039363987</v>
      </c>
    </row>
    <row r="25" spans="2:4" x14ac:dyDescent="0.35">
      <c r="B25">
        <v>11</v>
      </c>
      <c r="C25">
        <f t="shared" si="1"/>
        <v>64</v>
      </c>
      <c r="D25">
        <f t="shared" si="0"/>
        <v>3.9999999999999991</v>
      </c>
    </row>
    <row r="26" spans="2:4" x14ac:dyDescent="0.35">
      <c r="B26">
        <v>12</v>
      </c>
      <c r="C26">
        <f t="shared" si="1"/>
        <v>128</v>
      </c>
      <c r="D26">
        <f>POWER(C26,1/3)</f>
        <v>5.0396841995794919</v>
      </c>
    </row>
    <row r="27" spans="2:4" x14ac:dyDescent="0.35">
      <c r="B27">
        <v>13</v>
      </c>
      <c r="C27">
        <f t="shared" si="1"/>
        <v>256</v>
      </c>
      <c r="D27">
        <f t="shared" ref="D27:D34" si="2">POWER(C27,1/3)</f>
        <v>6.3496042078727974</v>
      </c>
    </row>
    <row r="28" spans="2:4" x14ac:dyDescent="0.35">
      <c r="B28">
        <v>14</v>
      </c>
      <c r="C28">
        <f t="shared" si="1"/>
        <v>512</v>
      </c>
      <c r="D28">
        <f t="shared" si="2"/>
        <v>7.9999999999999982</v>
      </c>
    </row>
    <row r="29" spans="2:4" x14ac:dyDescent="0.35">
      <c r="B29">
        <v>15</v>
      </c>
      <c r="C29">
        <f t="shared" si="1"/>
        <v>1024</v>
      </c>
      <c r="D29">
        <f t="shared" si="2"/>
        <v>10.079368399158986</v>
      </c>
    </row>
    <row r="30" spans="2:4" x14ac:dyDescent="0.35">
      <c r="B30">
        <v>16</v>
      </c>
      <c r="C30">
        <f t="shared" si="1"/>
        <v>2048</v>
      </c>
      <c r="D30">
        <f t="shared" si="2"/>
        <v>12.699208415745593</v>
      </c>
    </row>
    <row r="31" spans="2:4" x14ac:dyDescent="0.35">
      <c r="B31">
        <v>17</v>
      </c>
      <c r="C31">
        <f t="shared" si="1"/>
        <v>4096</v>
      </c>
      <c r="D31">
        <f t="shared" si="2"/>
        <v>15.999999999999991</v>
      </c>
    </row>
    <row r="32" spans="2:4" x14ac:dyDescent="0.35">
      <c r="B32">
        <v>18</v>
      </c>
      <c r="C32">
        <f t="shared" si="1"/>
        <v>8192</v>
      </c>
      <c r="D32">
        <f t="shared" si="2"/>
        <v>20.158736798317964</v>
      </c>
    </row>
    <row r="33" spans="2:4" x14ac:dyDescent="0.35">
      <c r="B33">
        <v>19</v>
      </c>
      <c r="C33">
        <f t="shared" si="1"/>
        <v>16384</v>
      </c>
      <c r="D33">
        <f t="shared" si="2"/>
        <v>25.398416831491186</v>
      </c>
    </row>
    <row r="34" spans="2:4" x14ac:dyDescent="0.35">
      <c r="B34">
        <v>20</v>
      </c>
      <c r="C34">
        <f t="shared" si="1"/>
        <v>32768</v>
      </c>
      <c r="D34">
        <f t="shared" si="2"/>
        <v>31.999999999999986</v>
      </c>
    </row>
  </sheetData>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C84E0-4E6A-4300-BFEF-7E652E3C1DDC}">
  <sheetPr>
    <tabColor rgb="FFFFC000"/>
  </sheetPr>
  <dimension ref="B1:O29"/>
  <sheetViews>
    <sheetView workbookViewId="0">
      <selection activeCell="P22" sqref="P22"/>
    </sheetView>
  </sheetViews>
  <sheetFormatPr defaultRowHeight="11.65" x14ac:dyDescent="0.35"/>
  <cols>
    <col min="1" max="1" width="2.75" customWidth="1"/>
    <col min="2" max="2" width="22.83203125" customWidth="1"/>
    <col min="4" max="4" width="14.4140625" customWidth="1"/>
    <col min="6" max="6" width="11.1640625" customWidth="1"/>
    <col min="7" max="8" width="10.83203125" customWidth="1"/>
    <col min="9" max="9" width="48.75" customWidth="1"/>
    <col min="11" max="11" width="22.75" bestFit="1" customWidth="1"/>
    <col min="12" max="12" width="5.4140625" customWidth="1"/>
    <col min="13" max="13" width="8" bestFit="1" customWidth="1"/>
    <col min="14" max="14" width="13.1640625" customWidth="1"/>
  </cols>
  <sheetData>
    <row r="1" spans="2:15" x14ac:dyDescent="0.35">
      <c r="B1" t="s">
        <v>88</v>
      </c>
      <c r="K1" t="s">
        <v>154</v>
      </c>
    </row>
    <row r="2" spans="2:15" x14ac:dyDescent="0.35">
      <c r="B2" t="s">
        <v>70</v>
      </c>
      <c r="C2" t="s">
        <v>4</v>
      </c>
      <c r="D2" t="s">
        <v>66</v>
      </c>
      <c r="E2" t="s">
        <v>5</v>
      </c>
      <c r="F2" t="s">
        <v>69</v>
      </c>
      <c r="G2" t="s">
        <v>67</v>
      </c>
      <c r="H2" t="s">
        <v>93</v>
      </c>
      <c r="I2" t="s">
        <v>68</v>
      </c>
      <c r="K2" t="s">
        <v>155</v>
      </c>
      <c r="L2" t="s">
        <v>4</v>
      </c>
      <c r="M2" t="s">
        <v>10</v>
      </c>
      <c r="N2" t="s">
        <v>89</v>
      </c>
      <c r="O2" t="s">
        <v>5</v>
      </c>
    </row>
    <row r="3" spans="2:15" x14ac:dyDescent="0.35">
      <c r="B3" t="s">
        <v>588</v>
      </c>
      <c r="C3">
        <v>5</v>
      </c>
      <c r="D3">
        <v>0</v>
      </c>
      <c r="E3">
        <v>0</v>
      </c>
      <c r="F3">
        <v>0</v>
      </c>
      <c r="G3" t="s">
        <v>13</v>
      </c>
      <c r="I3" t="s">
        <v>359</v>
      </c>
      <c r="K3" t="s">
        <v>26</v>
      </c>
      <c r="M3">
        <v>0</v>
      </c>
    </row>
    <row r="4" spans="2:15" x14ac:dyDescent="0.35">
      <c r="B4" t="s">
        <v>72</v>
      </c>
      <c r="C4">
        <v>7</v>
      </c>
      <c r="D4">
        <v>0</v>
      </c>
      <c r="E4">
        <v>10000</v>
      </c>
      <c r="F4">
        <v>1</v>
      </c>
      <c r="G4">
        <v>-2</v>
      </c>
      <c r="I4" t="s">
        <v>71</v>
      </c>
      <c r="K4" t="s">
        <v>158</v>
      </c>
      <c r="L4">
        <v>8</v>
      </c>
      <c r="M4">
        <v>1</v>
      </c>
      <c r="N4">
        <v>1</v>
      </c>
      <c r="O4">
        <v>5000</v>
      </c>
    </row>
    <row r="5" spans="2:15" x14ac:dyDescent="0.35">
      <c r="B5" t="s">
        <v>73</v>
      </c>
      <c r="C5">
        <v>8</v>
      </c>
      <c r="D5">
        <v>0</v>
      </c>
      <c r="E5">
        <v>100</v>
      </c>
      <c r="F5">
        <v>1</v>
      </c>
      <c r="G5">
        <v>-2</v>
      </c>
      <c r="I5" t="s">
        <v>71</v>
      </c>
      <c r="K5" t="s">
        <v>156</v>
      </c>
      <c r="L5">
        <v>10</v>
      </c>
      <c r="M5">
        <v>1</v>
      </c>
      <c r="N5">
        <v>2</v>
      </c>
      <c r="O5">
        <v>5000</v>
      </c>
    </row>
    <row r="6" spans="2:15" x14ac:dyDescent="0.35">
      <c r="B6" t="s">
        <v>74</v>
      </c>
      <c r="C6">
        <v>8</v>
      </c>
      <c r="D6">
        <v>1</v>
      </c>
      <c r="E6">
        <v>20000</v>
      </c>
      <c r="F6">
        <v>3</v>
      </c>
      <c r="G6">
        <v>-1</v>
      </c>
      <c r="I6" t="s">
        <v>753</v>
      </c>
      <c r="K6" t="s">
        <v>157</v>
      </c>
      <c r="L6">
        <v>11</v>
      </c>
      <c r="M6">
        <v>1</v>
      </c>
      <c r="N6">
        <v>3</v>
      </c>
      <c r="O6">
        <v>10000</v>
      </c>
    </row>
    <row r="7" spans="2:15" x14ac:dyDescent="0.35">
      <c r="B7" t="s">
        <v>75</v>
      </c>
      <c r="C7">
        <v>8</v>
      </c>
      <c r="D7">
        <v>1</v>
      </c>
      <c r="E7">
        <v>30000</v>
      </c>
      <c r="F7">
        <v>3</v>
      </c>
      <c r="G7">
        <v>-1</v>
      </c>
      <c r="H7" t="s">
        <v>340</v>
      </c>
      <c r="I7" t="s">
        <v>754</v>
      </c>
      <c r="K7" t="s">
        <v>159</v>
      </c>
      <c r="L7">
        <v>12</v>
      </c>
      <c r="M7">
        <v>1</v>
      </c>
      <c r="N7">
        <v>4</v>
      </c>
      <c r="O7">
        <v>20000</v>
      </c>
    </row>
    <row r="8" spans="2:15" x14ac:dyDescent="0.35">
      <c r="B8" t="s">
        <v>76</v>
      </c>
      <c r="C8">
        <v>10</v>
      </c>
      <c r="D8">
        <v>1</v>
      </c>
      <c r="E8">
        <v>4000</v>
      </c>
      <c r="F8">
        <v>4</v>
      </c>
      <c r="G8">
        <v>-1</v>
      </c>
      <c r="I8" t="s">
        <v>753</v>
      </c>
      <c r="K8" t="s">
        <v>160</v>
      </c>
      <c r="L8">
        <v>12</v>
      </c>
      <c r="M8">
        <v>1</v>
      </c>
      <c r="N8">
        <v>6</v>
      </c>
      <c r="O8">
        <v>50000</v>
      </c>
    </row>
    <row r="9" spans="2:15" x14ac:dyDescent="0.35">
      <c r="B9" t="s">
        <v>77</v>
      </c>
      <c r="C9">
        <v>10</v>
      </c>
      <c r="D9">
        <v>1</v>
      </c>
      <c r="E9">
        <v>6000</v>
      </c>
      <c r="F9">
        <v>4</v>
      </c>
      <c r="G9">
        <v>-1</v>
      </c>
      <c r="H9" t="s">
        <v>340</v>
      </c>
      <c r="I9" t="s">
        <v>754</v>
      </c>
      <c r="K9" t="s">
        <v>168</v>
      </c>
      <c r="L9">
        <v>12</v>
      </c>
      <c r="M9">
        <v>1</v>
      </c>
      <c r="N9">
        <v>8</v>
      </c>
      <c r="O9">
        <v>100000</v>
      </c>
    </row>
    <row r="10" spans="2:15" x14ac:dyDescent="0.35">
      <c r="B10" t="s">
        <v>78</v>
      </c>
      <c r="C10">
        <v>10</v>
      </c>
      <c r="D10">
        <v>2</v>
      </c>
      <c r="E10">
        <v>100000</v>
      </c>
      <c r="F10">
        <v>6</v>
      </c>
      <c r="G10">
        <v>0</v>
      </c>
      <c r="I10" t="s">
        <v>755</v>
      </c>
      <c r="K10" t="s">
        <v>161</v>
      </c>
      <c r="L10">
        <v>15</v>
      </c>
      <c r="M10">
        <v>1</v>
      </c>
      <c r="N10">
        <v>10</v>
      </c>
      <c r="O10">
        <v>500000</v>
      </c>
    </row>
    <row r="11" spans="2:15" x14ac:dyDescent="0.35">
      <c r="B11" t="s">
        <v>79</v>
      </c>
      <c r="C11">
        <v>11</v>
      </c>
      <c r="D11">
        <v>2</v>
      </c>
      <c r="E11">
        <v>50000</v>
      </c>
      <c r="F11">
        <v>7</v>
      </c>
      <c r="G11">
        <v>0</v>
      </c>
      <c r="I11" t="s">
        <v>755</v>
      </c>
      <c r="K11" t="s">
        <v>162</v>
      </c>
      <c r="L11">
        <v>15</v>
      </c>
      <c r="M11">
        <v>1</v>
      </c>
      <c r="N11">
        <v>15</v>
      </c>
      <c r="O11">
        <v>1000000</v>
      </c>
    </row>
    <row r="12" spans="2:15" x14ac:dyDescent="0.35">
      <c r="B12" t="s">
        <v>80</v>
      </c>
      <c r="C12">
        <v>12</v>
      </c>
      <c r="D12">
        <v>2</v>
      </c>
      <c r="E12">
        <v>10000</v>
      </c>
      <c r="F12">
        <v>8</v>
      </c>
      <c r="G12">
        <v>0</v>
      </c>
      <c r="I12" t="s">
        <v>755</v>
      </c>
      <c r="K12" t="s">
        <v>163</v>
      </c>
      <c r="L12">
        <v>15</v>
      </c>
      <c r="M12">
        <v>1</v>
      </c>
      <c r="N12">
        <v>20</v>
      </c>
      <c r="O12">
        <v>2500000</v>
      </c>
    </row>
    <row r="13" spans="2:15" x14ac:dyDescent="0.35">
      <c r="B13" t="s">
        <v>81</v>
      </c>
      <c r="C13">
        <v>12</v>
      </c>
      <c r="D13">
        <v>3</v>
      </c>
      <c r="E13">
        <v>500000</v>
      </c>
      <c r="F13">
        <v>9</v>
      </c>
      <c r="G13">
        <v>1</v>
      </c>
      <c r="I13" t="s">
        <v>756</v>
      </c>
      <c r="K13" t="s">
        <v>164</v>
      </c>
      <c r="L13">
        <v>15</v>
      </c>
      <c r="M13">
        <v>1</v>
      </c>
      <c r="N13">
        <v>25</v>
      </c>
      <c r="O13">
        <v>5000000</v>
      </c>
    </row>
    <row r="14" spans="2:15" x14ac:dyDescent="0.35">
      <c r="B14" t="s">
        <v>82</v>
      </c>
      <c r="C14">
        <v>13</v>
      </c>
      <c r="D14">
        <v>4</v>
      </c>
      <c r="E14">
        <v>500000</v>
      </c>
      <c r="F14">
        <v>10</v>
      </c>
      <c r="G14">
        <v>1</v>
      </c>
      <c r="I14" t="s">
        <v>756</v>
      </c>
      <c r="K14" t="s">
        <v>165</v>
      </c>
      <c r="L14">
        <v>17</v>
      </c>
      <c r="M14">
        <v>1</v>
      </c>
      <c r="N14">
        <v>30</v>
      </c>
      <c r="O14">
        <v>5000000</v>
      </c>
    </row>
    <row r="15" spans="2:15" x14ac:dyDescent="0.35">
      <c r="B15" t="s">
        <v>83</v>
      </c>
      <c r="C15">
        <v>14</v>
      </c>
      <c r="D15">
        <v>5</v>
      </c>
      <c r="E15">
        <v>500000</v>
      </c>
      <c r="F15">
        <v>11</v>
      </c>
      <c r="G15">
        <v>1</v>
      </c>
      <c r="I15" t="s">
        <v>756</v>
      </c>
      <c r="K15" t="s">
        <v>166</v>
      </c>
      <c r="L15">
        <v>17</v>
      </c>
      <c r="M15">
        <v>1</v>
      </c>
      <c r="N15">
        <v>40</v>
      </c>
      <c r="O15">
        <v>10000000</v>
      </c>
    </row>
    <row r="16" spans="2:15" x14ac:dyDescent="0.35">
      <c r="B16" t="s">
        <v>84</v>
      </c>
      <c r="C16">
        <v>15</v>
      </c>
      <c r="D16">
        <v>10</v>
      </c>
      <c r="E16">
        <v>1000000</v>
      </c>
      <c r="F16">
        <v>12</v>
      </c>
      <c r="G16">
        <v>2</v>
      </c>
      <c r="I16" t="s">
        <v>757</v>
      </c>
      <c r="K16" t="s">
        <v>167</v>
      </c>
      <c r="L16">
        <v>18</v>
      </c>
      <c r="M16">
        <v>1</v>
      </c>
      <c r="N16">
        <v>50</v>
      </c>
      <c r="O16">
        <v>5000000</v>
      </c>
    </row>
    <row r="17" spans="2:9" x14ac:dyDescent="0.35">
      <c r="B17" t="s">
        <v>85</v>
      </c>
      <c r="C17">
        <v>16</v>
      </c>
      <c r="D17">
        <v>15</v>
      </c>
      <c r="E17">
        <v>1000000</v>
      </c>
      <c r="F17">
        <v>13</v>
      </c>
      <c r="G17">
        <v>2</v>
      </c>
      <c r="I17" t="s">
        <v>757</v>
      </c>
    </row>
    <row r="18" spans="2:9" x14ac:dyDescent="0.35">
      <c r="B18" t="s">
        <v>86</v>
      </c>
      <c r="C18">
        <v>17</v>
      </c>
      <c r="D18">
        <v>20</v>
      </c>
      <c r="E18">
        <v>5000000</v>
      </c>
      <c r="F18">
        <v>15</v>
      </c>
      <c r="G18">
        <v>3</v>
      </c>
      <c r="I18" t="s">
        <v>758</v>
      </c>
    </row>
    <row r="19" spans="2:9" x14ac:dyDescent="0.35">
      <c r="B19" t="s">
        <v>87</v>
      </c>
      <c r="C19">
        <v>18</v>
      </c>
      <c r="D19">
        <v>30</v>
      </c>
      <c r="E19">
        <v>1000000</v>
      </c>
      <c r="F19">
        <v>15</v>
      </c>
      <c r="G19">
        <v>3</v>
      </c>
      <c r="I19" t="s">
        <v>758</v>
      </c>
    </row>
    <row r="22" spans="2:9" x14ac:dyDescent="0.35">
      <c r="B22" t="s">
        <v>572</v>
      </c>
    </row>
    <row r="23" spans="2:9" ht="12" thickBot="1" x14ac:dyDescent="0.4">
      <c r="B23" s="121" t="s">
        <v>70</v>
      </c>
      <c r="C23" s="122" t="s">
        <v>4</v>
      </c>
      <c r="D23" s="122" t="s">
        <v>66</v>
      </c>
      <c r="E23" s="122" t="s">
        <v>5</v>
      </c>
      <c r="F23" s="122" t="s">
        <v>69</v>
      </c>
      <c r="G23" s="122" t="s">
        <v>67</v>
      </c>
      <c r="H23" s="122" t="s">
        <v>93</v>
      </c>
      <c r="I23" s="123" t="s">
        <v>68</v>
      </c>
    </row>
    <row r="24" spans="2:9" ht="12" thickTop="1" x14ac:dyDescent="0.35">
      <c r="B24" t="s">
        <v>588</v>
      </c>
      <c r="C24">
        <v>5</v>
      </c>
      <c r="D24">
        <v>0</v>
      </c>
      <c r="E24">
        <v>0</v>
      </c>
      <c r="F24">
        <v>0</v>
      </c>
      <c r="G24" t="s">
        <v>13</v>
      </c>
      <c r="I24" t="s">
        <v>359</v>
      </c>
    </row>
    <row r="25" spans="2:9" x14ac:dyDescent="0.35">
      <c r="B25" s="124" t="s">
        <v>73</v>
      </c>
      <c r="C25" s="125">
        <v>8</v>
      </c>
      <c r="D25" s="125">
        <v>0</v>
      </c>
      <c r="E25" s="125">
        <v>100</v>
      </c>
      <c r="F25" s="125">
        <v>1</v>
      </c>
      <c r="G25" s="125">
        <v>-2</v>
      </c>
      <c r="H25" s="125"/>
      <c r="I25" s="126" t="s">
        <v>71</v>
      </c>
    </row>
    <row r="26" spans="2:9" x14ac:dyDescent="0.35">
      <c r="B26" s="124" t="s">
        <v>0</v>
      </c>
      <c r="C26" s="125">
        <v>11</v>
      </c>
      <c r="D26" s="125">
        <v>1</v>
      </c>
      <c r="E26" s="125">
        <v>4000</v>
      </c>
      <c r="F26" s="125">
        <v>4</v>
      </c>
      <c r="G26" s="125">
        <v>-1</v>
      </c>
      <c r="H26" s="125"/>
      <c r="I26" s="126" t="s">
        <v>753</v>
      </c>
    </row>
    <row r="27" spans="2:9" x14ac:dyDescent="0.35">
      <c r="B27" s="124" t="s">
        <v>108</v>
      </c>
      <c r="C27" s="125">
        <v>11</v>
      </c>
      <c r="D27" s="125">
        <v>1</v>
      </c>
      <c r="E27" s="125">
        <v>6000</v>
      </c>
      <c r="F27" s="125">
        <v>4</v>
      </c>
      <c r="G27" s="125">
        <v>-1</v>
      </c>
      <c r="H27" s="125" t="s">
        <v>574</v>
      </c>
      <c r="I27" s="126" t="s">
        <v>754</v>
      </c>
    </row>
    <row r="28" spans="2:9" x14ac:dyDescent="0.35">
      <c r="B28" s="124" t="s">
        <v>3</v>
      </c>
      <c r="C28" s="125">
        <v>12</v>
      </c>
      <c r="D28" s="125">
        <v>2</v>
      </c>
      <c r="E28" s="125">
        <v>10000</v>
      </c>
      <c r="F28" s="125">
        <v>6</v>
      </c>
      <c r="G28" s="125">
        <v>0</v>
      </c>
      <c r="H28" s="125"/>
      <c r="I28" t="s">
        <v>755</v>
      </c>
    </row>
    <row r="29" spans="2:9" x14ac:dyDescent="0.35">
      <c r="B29" s="124" t="s">
        <v>573</v>
      </c>
      <c r="C29" s="125">
        <v>15</v>
      </c>
      <c r="D29" s="125">
        <v>3</v>
      </c>
      <c r="E29" s="125">
        <v>500000</v>
      </c>
      <c r="F29" s="125">
        <v>9</v>
      </c>
      <c r="G29" s="125">
        <v>1</v>
      </c>
      <c r="H29" s="125"/>
      <c r="I29" t="s">
        <v>756</v>
      </c>
    </row>
  </sheetData>
  <pageMargins left="0.7" right="0.7" top="0.75" bottom="0.75" header="0.3" footer="0.3"/>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ECD9-A9F1-4FA6-B599-C109350C7E71}">
  <sheetPr>
    <tabColor rgb="FFFFC000"/>
  </sheetPr>
  <dimension ref="B1:O256"/>
  <sheetViews>
    <sheetView topLeftCell="A201" workbookViewId="0">
      <selection activeCell="C246" sqref="C246"/>
    </sheetView>
  </sheetViews>
  <sheetFormatPr defaultRowHeight="11.65" x14ac:dyDescent="0.35"/>
  <cols>
    <col min="1" max="1" width="2.75" customWidth="1"/>
    <col min="2" max="2" width="16" bestFit="1" customWidth="1"/>
    <col min="3" max="3" width="52" bestFit="1" customWidth="1"/>
    <col min="4" max="4" width="9.75" bestFit="1" customWidth="1"/>
    <col min="5" max="5" width="5.58203125" bestFit="1" customWidth="1"/>
    <col min="6" max="6" width="8" bestFit="1" customWidth="1"/>
    <col min="7" max="7" width="8.83203125" bestFit="1" customWidth="1"/>
    <col min="8" max="8" width="8.25" bestFit="1" customWidth="1"/>
    <col min="9" max="9" width="30.58203125" bestFit="1" customWidth="1"/>
    <col min="10" max="10" width="28.4140625" bestFit="1" customWidth="1"/>
    <col min="11" max="11" width="8" bestFit="1" customWidth="1"/>
    <col min="12" max="12" width="9.08203125" customWidth="1"/>
    <col min="13" max="13" width="8" bestFit="1" customWidth="1"/>
    <col min="14" max="14" width="8.6640625" customWidth="1"/>
  </cols>
  <sheetData>
    <row r="1" spans="2:15" x14ac:dyDescent="0.35">
      <c r="B1" t="s">
        <v>209</v>
      </c>
    </row>
    <row r="2" spans="2:15" x14ac:dyDescent="0.35">
      <c r="B2" t="s">
        <v>8</v>
      </c>
      <c r="C2" t="s">
        <v>7</v>
      </c>
      <c r="D2" t="s">
        <v>6</v>
      </c>
      <c r="E2" t="s">
        <v>4</v>
      </c>
      <c r="F2" t="s">
        <v>10</v>
      </c>
      <c r="G2" t="s">
        <v>230</v>
      </c>
      <c r="H2" t="s">
        <v>763</v>
      </c>
      <c r="I2" t="s">
        <v>301</v>
      </c>
      <c r="J2" s="8" t="s">
        <v>94</v>
      </c>
      <c r="K2" t="s">
        <v>93</v>
      </c>
      <c r="L2" t="s">
        <v>5</v>
      </c>
      <c r="M2" t="s">
        <v>97</v>
      </c>
      <c r="N2" t="s">
        <v>211</v>
      </c>
      <c r="O2" t="s">
        <v>479</v>
      </c>
    </row>
    <row r="3" spans="2:15" x14ac:dyDescent="0.35">
      <c r="B3" t="s">
        <v>569</v>
      </c>
      <c r="C3" t="s">
        <v>570</v>
      </c>
      <c r="E3">
        <v>8</v>
      </c>
      <c r="F3">
        <v>0</v>
      </c>
      <c r="G3">
        <v>0</v>
      </c>
      <c r="H3" t="b">
        <v>0</v>
      </c>
      <c r="I3" s="110"/>
      <c r="J3" s="9"/>
      <c r="L3">
        <v>10</v>
      </c>
      <c r="M3" t="b">
        <v>0</v>
      </c>
      <c r="N3">
        <f>OptionsTable[[#This Row],[Cost]]</f>
        <v>10</v>
      </c>
      <c r="O3">
        <v>-2</v>
      </c>
    </row>
    <row r="4" spans="2:15" x14ac:dyDescent="0.35">
      <c r="B4" t="s">
        <v>569</v>
      </c>
      <c r="C4" t="s">
        <v>736</v>
      </c>
      <c r="E4">
        <v>9</v>
      </c>
      <c r="F4">
        <v>0</v>
      </c>
      <c r="G4">
        <v>0</v>
      </c>
      <c r="H4" t="b">
        <v>0</v>
      </c>
      <c r="I4" s="110" t="s">
        <v>745</v>
      </c>
      <c r="J4" s="9"/>
      <c r="L4">
        <v>0</v>
      </c>
      <c r="M4" t="b">
        <v>0</v>
      </c>
      <c r="N4">
        <f>OptionsTable[[#This Row],[Cost]]</f>
        <v>0</v>
      </c>
      <c r="O4">
        <v>-2</v>
      </c>
    </row>
    <row r="5" spans="2:15" x14ac:dyDescent="0.35">
      <c r="B5" t="s">
        <v>569</v>
      </c>
      <c r="C5" t="s">
        <v>737</v>
      </c>
      <c r="E5">
        <v>11</v>
      </c>
      <c r="F5">
        <v>0</v>
      </c>
      <c r="G5">
        <v>0</v>
      </c>
      <c r="H5" t="b">
        <v>0</v>
      </c>
      <c r="I5" s="110" t="s">
        <v>745</v>
      </c>
      <c r="J5" s="9"/>
      <c r="L5">
        <v>0</v>
      </c>
      <c r="M5" t="b">
        <v>0</v>
      </c>
      <c r="N5">
        <f>OptionsTable[[#This Row],[Cost]]</f>
        <v>0</v>
      </c>
      <c r="O5">
        <v>-2</v>
      </c>
    </row>
    <row r="6" spans="2:15" x14ac:dyDescent="0.35">
      <c r="B6" t="s">
        <v>569</v>
      </c>
      <c r="C6" t="s">
        <v>738</v>
      </c>
      <c r="E6">
        <v>7</v>
      </c>
      <c r="F6">
        <v>0</v>
      </c>
      <c r="G6">
        <v>0</v>
      </c>
      <c r="H6" t="b">
        <v>0</v>
      </c>
      <c r="I6" s="110" t="s">
        <v>745</v>
      </c>
      <c r="J6" s="9"/>
      <c r="L6">
        <v>0</v>
      </c>
      <c r="M6" t="b">
        <v>0</v>
      </c>
      <c r="N6">
        <f>OptionsTable[[#This Row],[Cost]]</f>
        <v>0</v>
      </c>
      <c r="O6">
        <v>-2</v>
      </c>
    </row>
    <row r="7" spans="2:15" x14ac:dyDescent="0.35">
      <c r="B7" t="s">
        <v>569</v>
      </c>
      <c r="C7" t="s">
        <v>743</v>
      </c>
      <c r="E7">
        <v>8</v>
      </c>
      <c r="F7">
        <v>0</v>
      </c>
      <c r="G7">
        <v>0</v>
      </c>
      <c r="H7" t="b">
        <v>0</v>
      </c>
      <c r="I7" s="110"/>
      <c r="J7" s="9"/>
      <c r="L7">
        <v>500</v>
      </c>
      <c r="M7" t="b">
        <v>0</v>
      </c>
      <c r="N7">
        <f>OptionsTable[[#This Row],[Cost]]</f>
        <v>500</v>
      </c>
      <c r="O7">
        <v>-2</v>
      </c>
    </row>
    <row r="8" spans="2:15" x14ac:dyDescent="0.35">
      <c r="B8" t="s">
        <v>569</v>
      </c>
      <c r="C8" t="s">
        <v>744</v>
      </c>
      <c r="E8">
        <v>8</v>
      </c>
      <c r="F8">
        <v>0</v>
      </c>
      <c r="G8">
        <v>0</v>
      </c>
      <c r="H8" t="b">
        <v>0</v>
      </c>
      <c r="I8" s="110"/>
      <c r="J8" s="9"/>
      <c r="L8">
        <v>1000</v>
      </c>
      <c r="M8" t="b">
        <v>0</v>
      </c>
      <c r="N8">
        <f>OptionsTable[[#This Row],[Cost]]</f>
        <v>1000</v>
      </c>
      <c r="O8">
        <v>-2</v>
      </c>
    </row>
    <row r="9" spans="2:15" x14ac:dyDescent="0.35">
      <c r="B9" t="s">
        <v>45</v>
      </c>
      <c r="G9">
        <v>0</v>
      </c>
      <c r="I9" s="110"/>
      <c r="J9" s="9"/>
      <c r="O9">
        <v>-1</v>
      </c>
    </row>
    <row r="10" spans="2:15" x14ac:dyDescent="0.35">
      <c r="B10" t="s">
        <v>9</v>
      </c>
      <c r="C10" t="s">
        <v>222</v>
      </c>
      <c r="E10">
        <v>8</v>
      </c>
      <c r="F10">
        <v>0</v>
      </c>
      <c r="G10">
        <v>0</v>
      </c>
      <c r="H10" t="b">
        <v>1</v>
      </c>
      <c r="I10" s="110"/>
      <c r="J10" s="9"/>
      <c r="L10">
        <v>100</v>
      </c>
      <c r="M10" t="b">
        <v>0</v>
      </c>
      <c r="N10">
        <f>OptionsTable[[#This Row],[Cost]]</f>
        <v>100</v>
      </c>
      <c r="O10">
        <v>0</v>
      </c>
    </row>
    <row r="11" spans="2:15" x14ac:dyDescent="0.35">
      <c r="B11" t="s">
        <v>9</v>
      </c>
      <c r="C11" t="s">
        <v>627</v>
      </c>
      <c r="D11" t="s">
        <v>0</v>
      </c>
      <c r="E11">
        <v>7</v>
      </c>
      <c r="F11">
        <v>0</v>
      </c>
      <c r="G11">
        <v>0</v>
      </c>
      <c r="H11" t="b">
        <v>1</v>
      </c>
      <c r="I11" s="110" t="s">
        <v>695</v>
      </c>
      <c r="J11" s="9"/>
      <c r="L11">
        <v>10</v>
      </c>
      <c r="M11" t="b">
        <v>0</v>
      </c>
      <c r="N11">
        <v>0</v>
      </c>
      <c r="O11">
        <v>0</v>
      </c>
    </row>
    <row r="12" spans="2:15" x14ac:dyDescent="0.35">
      <c r="B12" t="s">
        <v>9</v>
      </c>
      <c r="C12" t="s">
        <v>628</v>
      </c>
      <c r="D12" t="s">
        <v>1</v>
      </c>
      <c r="E12">
        <v>8</v>
      </c>
      <c r="F12">
        <v>0</v>
      </c>
      <c r="G12">
        <v>0</v>
      </c>
      <c r="H12" t="b">
        <v>1</v>
      </c>
      <c r="I12" s="110" t="s">
        <v>696</v>
      </c>
      <c r="J12" s="9" t="s">
        <v>342</v>
      </c>
      <c r="L12">
        <v>200</v>
      </c>
      <c r="M12" t="b">
        <v>0</v>
      </c>
      <c r="N12">
        <f>OptionsTable[[#This Row],[Cost]]</f>
        <v>200</v>
      </c>
      <c r="O12">
        <v>0</v>
      </c>
    </row>
    <row r="13" spans="2:15" x14ac:dyDescent="0.35">
      <c r="B13" t="s">
        <v>95</v>
      </c>
      <c r="C13" t="s">
        <v>483</v>
      </c>
      <c r="D13" t="s">
        <v>0</v>
      </c>
      <c r="E13">
        <v>5</v>
      </c>
      <c r="F13">
        <v>0</v>
      </c>
      <c r="G13">
        <v>0</v>
      </c>
      <c r="H13" t="b">
        <v>1</v>
      </c>
      <c r="I13" s="110" t="s">
        <v>407</v>
      </c>
      <c r="J13" s="9"/>
      <c r="L13">
        <v>5</v>
      </c>
      <c r="M13" t="b">
        <v>1</v>
      </c>
      <c r="N13">
        <f>OptionsTable[[#This Row],[Cost]]</f>
        <v>5</v>
      </c>
      <c r="O13">
        <v>0</v>
      </c>
    </row>
    <row r="14" spans="2:15" x14ac:dyDescent="0.35">
      <c r="B14" t="s">
        <v>95</v>
      </c>
      <c r="C14" t="s">
        <v>484</v>
      </c>
      <c r="D14" t="s">
        <v>1</v>
      </c>
      <c r="E14">
        <v>8</v>
      </c>
      <c r="F14">
        <v>0</v>
      </c>
      <c r="G14">
        <v>0</v>
      </c>
      <c r="H14" t="b">
        <v>1</v>
      </c>
      <c r="I14" s="110" t="s">
        <v>408</v>
      </c>
      <c r="J14" s="9"/>
      <c r="L14">
        <v>1</v>
      </c>
      <c r="M14" t="b">
        <v>1</v>
      </c>
      <c r="N14">
        <f>OptionsTable[[#This Row],[Cost]]</f>
        <v>1</v>
      </c>
      <c r="O14">
        <v>0</v>
      </c>
    </row>
    <row r="15" spans="2:15" x14ac:dyDescent="0.35">
      <c r="B15" t="s">
        <v>95</v>
      </c>
      <c r="C15" t="s">
        <v>482</v>
      </c>
      <c r="D15" t="s">
        <v>3</v>
      </c>
      <c r="E15">
        <v>10</v>
      </c>
      <c r="F15">
        <v>0</v>
      </c>
      <c r="G15">
        <v>0</v>
      </c>
      <c r="H15" t="b">
        <v>1</v>
      </c>
      <c r="I15" s="110" t="s">
        <v>410</v>
      </c>
      <c r="J15" s="9"/>
      <c r="L15">
        <v>50</v>
      </c>
      <c r="M15" t="b">
        <v>1</v>
      </c>
      <c r="N15">
        <f>OptionsTable[[#This Row],[Cost]]</f>
        <v>50</v>
      </c>
      <c r="O15">
        <v>0</v>
      </c>
    </row>
    <row r="16" spans="2:15" x14ac:dyDescent="0.35">
      <c r="B16" t="s">
        <v>95</v>
      </c>
      <c r="C16" t="s">
        <v>486</v>
      </c>
      <c r="D16" t="s">
        <v>0</v>
      </c>
      <c r="E16">
        <v>7</v>
      </c>
      <c r="F16">
        <v>0</v>
      </c>
      <c r="G16">
        <v>0</v>
      </c>
      <c r="H16" t="b">
        <v>1</v>
      </c>
      <c r="I16" s="110" t="s">
        <v>406</v>
      </c>
      <c r="J16" s="9"/>
      <c r="L16">
        <v>5</v>
      </c>
      <c r="M16" t="b">
        <v>1</v>
      </c>
      <c r="N16">
        <f>OptionsTable[[#This Row],[Cost]]</f>
        <v>5</v>
      </c>
      <c r="O16">
        <v>0</v>
      </c>
    </row>
    <row r="17" spans="2:15" x14ac:dyDescent="0.35">
      <c r="B17" t="s">
        <v>95</v>
      </c>
      <c r="C17" t="s">
        <v>487</v>
      </c>
      <c r="D17" t="s">
        <v>1</v>
      </c>
      <c r="E17">
        <v>9</v>
      </c>
      <c r="F17">
        <v>0</v>
      </c>
      <c r="G17">
        <v>0</v>
      </c>
      <c r="H17" t="b">
        <v>1</v>
      </c>
      <c r="I17" s="110" t="s">
        <v>411</v>
      </c>
      <c r="J17" s="9"/>
      <c r="L17">
        <v>1</v>
      </c>
      <c r="M17" t="b">
        <v>1</v>
      </c>
      <c r="N17">
        <f>OptionsTable[[#This Row],[Cost]]</f>
        <v>1</v>
      </c>
      <c r="O17">
        <v>0</v>
      </c>
    </row>
    <row r="18" spans="2:15" x14ac:dyDescent="0.35">
      <c r="B18" t="s">
        <v>95</v>
      </c>
      <c r="C18" t="s">
        <v>485</v>
      </c>
      <c r="D18" t="s">
        <v>3</v>
      </c>
      <c r="E18">
        <v>12</v>
      </c>
      <c r="F18">
        <v>0</v>
      </c>
      <c r="G18">
        <v>0</v>
      </c>
      <c r="H18" t="b">
        <v>1</v>
      </c>
      <c r="I18" s="110" t="s">
        <v>408</v>
      </c>
      <c r="J18" s="9"/>
      <c r="L18">
        <v>50</v>
      </c>
      <c r="M18" t="b">
        <v>1</v>
      </c>
      <c r="N18">
        <f>OptionsTable[[#This Row],[Cost]]</f>
        <v>50</v>
      </c>
      <c r="O18">
        <v>0</v>
      </c>
    </row>
    <row r="19" spans="2:15" x14ac:dyDescent="0.35">
      <c r="B19" t="s">
        <v>95</v>
      </c>
      <c r="C19" t="s">
        <v>492</v>
      </c>
      <c r="D19" t="s">
        <v>14</v>
      </c>
      <c r="E19">
        <v>1</v>
      </c>
      <c r="F19">
        <v>0</v>
      </c>
      <c r="G19">
        <v>0</v>
      </c>
      <c r="H19" t="b">
        <v>1</v>
      </c>
      <c r="I19" s="110" t="s">
        <v>404</v>
      </c>
      <c r="J19" s="9"/>
      <c r="K19" t="s">
        <v>322</v>
      </c>
      <c r="L19">
        <v>1</v>
      </c>
      <c r="M19" t="b">
        <v>1</v>
      </c>
      <c r="N19">
        <f>OptionsTable[[#This Row],[Cost]]</f>
        <v>1</v>
      </c>
      <c r="O19">
        <v>0</v>
      </c>
    </row>
    <row r="20" spans="2:15" x14ac:dyDescent="0.35">
      <c r="B20" t="s">
        <v>95</v>
      </c>
      <c r="C20" t="s">
        <v>489</v>
      </c>
      <c r="D20" t="s">
        <v>0</v>
      </c>
      <c r="E20">
        <v>4</v>
      </c>
      <c r="F20">
        <v>0</v>
      </c>
      <c r="G20">
        <v>0</v>
      </c>
      <c r="H20" t="b">
        <v>1</v>
      </c>
      <c r="I20" s="110" t="s">
        <v>405</v>
      </c>
      <c r="J20" s="9"/>
      <c r="K20" t="s">
        <v>323</v>
      </c>
      <c r="L20">
        <v>4</v>
      </c>
      <c r="M20" t="b">
        <v>1</v>
      </c>
      <c r="N20">
        <f>OptionsTable[[#This Row],[Cost]]</f>
        <v>4</v>
      </c>
      <c r="O20">
        <v>0</v>
      </c>
    </row>
    <row r="21" spans="2:15" x14ac:dyDescent="0.35">
      <c r="B21" t="s">
        <v>95</v>
      </c>
      <c r="C21" t="s">
        <v>491</v>
      </c>
      <c r="D21" t="s">
        <v>1</v>
      </c>
      <c r="E21">
        <v>7</v>
      </c>
      <c r="F21">
        <v>0</v>
      </c>
      <c r="G21">
        <v>0</v>
      </c>
      <c r="H21" t="b">
        <v>1</v>
      </c>
      <c r="I21" s="110" t="s">
        <v>406</v>
      </c>
      <c r="J21" s="9"/>
      <c r="K21" t="s">
        <v>323</v>
      </c>
      <c r="L21">
        <v>40</v>
      </c>
      <c r="M21" t="b">
        <v>1</v>
      </c>
      <c r="N21">
        <f>OptionsTable[[#This Row],[Cost]]</f>
        <v>40</v>
      </c>
      <c r="O21">
        <v>0</v>
      </c>
    </row>
    <row r="22" spans="2:15" x14ac:dyDescent="0.35">
      <c r="B22" t="s">
        <v>95</v>
      </c>
      <c r="C22" t="s">
        <v>490</v>
      </c>
      <c r="D22" t="s">
        <v>2</v>
      </c>
      <c r="E22">
        <v>11</v>
      </c>
      <c r="F22">
        <v>0</v>
      </c>
      <c r="G22">
        <v>0</v>
      </c>
      <c r="H22" t="b">
        <v>1</v>
      </c>
      <c r="I22" s="110" t="s">
        <v>407</v>
      </c>
      <c r="J22" s="9"/>
      <c r="K22" t="s">
        <v>324</v>
      </c>
      <c r="L22">
        <v>100</v>
      </c>
      <c r="M22" t="b">
        <v>1</v>
      </c>
      <c r="N22">
        <f>OptionsTable[[#This Row],[Cost]]</f>
        <v>100</v>
      </c>
      <c r="O22">
        <v>0</v>
      </c>
    </row>
    <row r="23" spans="2:15" x14ac:dyDescent="0.35">
      <c r="B23" t="s">
        <v>95</v>
      </c>
      <c r="C23" t="s">
        <v>488</v>
      </c>
      <c r="D23" t="s">
        <v>3</v>
      </c>
      <c r="E23">
        <v>12</v>
      </c>
      <c r="F23">
        <v>0</v>
      </c>
      <c r="G23">
        <v>0</v>
      </c>
      <c r="H23" t="b">
        <v>1</v>
      </c>
      <c r="I23" s="110" t="s">
        <v>408</v>
      </c>
      <c r="J23" s="9"/>
      <c r="K23" t="s">
        <v>325</v>
      </c>
      <c r="L23">
        <v>500</v>
      </c>
      <c r="M23" t="b">
        <v>1</v>
      </c>
      <c r="N23">
        <f>OptionsTable[[#This Row],[Cost]]</f>
        <v>500</v>
      </c>
      <c r="O23">
        <v>0</v>
      </c>
    </row>
    <row r="24" spans="2:15" x14ac:dyDescent="0.35">
      <c r="B24" t="s">
        <v>95</v>
      </c>
      <c r="C24" t="s">
        <v>705</v>
      </c>
      <c r="D24" t="s">
        <v>96</v>
      </c>
      <c r="E24">
        <v>13</v>
      </c>
      <c r="F24">
        <v>0</v>
      </c>
      <c r="G24">
        <v>0</v>
      </c>
      <c r="H24" t="b">
        <v>1</v>
      </c>
      <c r="I24" s="110" t="s">
        <v>409</v>
      </c>
      <c r="J24" s="9"/>
      <c r="K24" t="s">
        <v>325</v>
      </c>
      <c r="L24">
        <v>2500</v>
      </c>
      <c r="M24" t="b">
        <v>1</v>
      </c>
      <c r="N24">
        <f>OptionsTable[[#This Row],[Cost]]</f>
        <v>2500</v>
      </c>
      <c r="O24">
        <v>0</v>
      </c>
    </row>
    <row r="25" spans="2:15" x14ac:dyDescent="0.35">
      <c r="B25" t="s">
        <v>285</v>
      </c>
      <c r="C25" t="s">
        <v>288</v>
      </c>
      <c r="D25" t="s">
        <v>1</v>
      </c>
      <c r="E25">
        <v>9</v>
      </c>
      <c r="F25">
        <v>0</v>
      </c>
      <c r="G25">
        <v>0</v>
      </c>
      <c r="H25" t="b">
        <v>1</v>
      </c>
      <c r="I25" s="110" t="s">
        <v>640</v>
      </c>
      <c r="J25" s="9"/>
      <c r="L25">
        <v>500</v>
      </c>
      <c r="M25" t="b">
        <v>0</v>
      </c>
      <c r="N25">
        <f>OptionsTable[[#This Row],[Cost]]</f>
        <v>500</v>
      </c>
      <c r="O25">
        <v>0</v>
      </c>
    </row>
    <row r="26" spans="2:15" x14ac:dyDescent="0.35">
      <c r="B26" t="s">
        <v>285</v>
      </c>
      <c r="C26" t="s">
        <v>289</v>
      </c>
      <c r="D26" t="s">
        <v>3</v>
      </c>
      <c r="E26">
        <v>11</v>
      </c>
      <c r="F26">
        <v>0</v>
      </c>
      <c r="G26">
        <v>0</v>
      </c>
      <c r="H26" t="b">
        <v>1</v>
      </c>
      <c r="I26" s="110" t="s">
        <v>641</v>
      </c>
      <c r="J26" s="9"/>
      <c r="L26">
        <v>4000</v>
      </c>
      <c r="M26" t="b">
        <v>0</v>
      </c>
      <c r="N26">
        <f>OptionsTable[[#This Row],[Cost]]</f>
        <v>4000</v>
      </c>
      <c r="O26">
        <v>0</v>
      </c>
    </row>
    <row r="27" spans="2:15" x14ac:dyDescent="0.35">
      <c r="B27" t="s">
        <v>40</v>
      </c>
      <c r="C27" t="s">
        <v>284</v>
      </c>
      <c r="E27">
        <v>6</v>
      </c>
      <c r="F27">
        <v>0</v>
      </c>
      <c r="G27">
        <v>0</v>
      </c>
      <c r="H27" t="b">
        <v>1</v>
      </c>
      <c r="I27" s="110"/>
      <c r="J27" s="9"/>
      <c r="L27">
        <v>100</v>
      </c>
      <c r="M27" t="b">
        <v>0</v>
      </c>
      <c r="N27">
        <v>0</v>
      </c>
      <c r="O27">
        <v>0</v>
      </c>
    </row>
    <row r="28" spans="2:15" x14ac:dyDescent="0.35">
      <c r="B28" t="s">
        <v>40</v>
      </c>
      <c r="C28" t="s">
        <v>232</v>
      </c>
      <c r="E28">
        <v>6</v>
      </c>
      <c r="F28">
        <v>0</v>
      </c>
      <c r="G28">
        <v>0</v>
      </c>
      <c r="H28" t="b">
        <v>1</v>
      </c>
      <c r="I28" s="110"/>
      <c r="J28" s="9"/>
      <c r="L28">
        <v>4000</v>
      </c>
      <c r="M28" t="b">
        <v>0</v>
      </c>
      <c r="N28">
        <f>OptionsTable[[#This Row],[Cost]]</f>
        <v>4000</v>
      </c>
      <c r="O28">
        <v>0</v>
      </c>
    </row>
    <row r="29" spans="2:15" x14ac:dyDescent="0.35">
      <c r="B29" t="s">
        <v>9</v>
      </c>
      <c r="C29" t="s">
        <v>11</v>
      </c>
      <c r="E29">
        <v>10</v>
      </c>
      <c r="F29">
        <v>0</v>
      </c>
      <c r="G29">
        <v>0</v>
      </c>
      <c r="H29" t="b">
        <v>1</v>
      </c>
      <c r="I29" s="128" t="s">
        <v>698</v>
      </c>
      <c r="J29" s="10" t="s">
        <v>342</v>
      </c>
      <c r="K29" s="27" t="s">
        <v>340</v>
      </c>
      <c r="L29">
        <v>10000</v>
      </c>
      <c r="M29" t="b">
        <v>0</v>
      </c>
      <c r="N29">
        <f>OptionsTable[[#This Row],[Cost]]</f>
        <v>10000</v>
      </c>
      <c r="O29">
        <v>0</v>
      </c>
    </row>
    <row r="30" spans="2:15" x14ac:dyDescent="0.35">
      <c r="B30" t="s">
        <v>270</v>
      </c>
      <c r="C30" t="s">
        <v>291</v>
      </c>
      <c r="E30">
        <v>9</v>
      </c>
      <c r="F30">
        <v>0</v>
      </c>
      <c r="G30">
        <v>0</v>
      </c>
      <c r="H30" t="b">
        <v>1</v>
      </c>
      <c r="I30" s="110"/>
      <c r="J30" s="9"/>
      <c r="L30">
        <v>500</v>
      </c>
      <c r="M30" t="b">
        <v>1</v>
      </c>
      <c r="N30">
        <f>OptionsTable[[#This Row],[Cost]]</f>
        <v>500</v>
      </c>
      <c r="O30">
        <v>0</v>
      </c>
    </row>
    <row r="31" spans="2:15" x14ac:dyDescent="0.35">
      <c r="B31" t="s">
        <v>9</v>
      </c>
      <c r="C31" t="s">
        <v>279</v>
      </c>
      <c r="E31">
        <v>8</v>
      </c>
      <c r="F31">
        <v>0</v>
      </c>
      <c r="G31">
        <v>0</v>
      </c>
      <c r="H31" t="b">
        <v>1</v>
      </c>
      <c r="I31" s="128"/>
      <c r="J31" s="10"/>
      <c r="K31" s="27"/>
      <c r="L31">
        <v>400</v>
      </c>
      <c r="M31" t="b">
        <v>0</v>
      </c>
      <c r="N31">
        <f>OptionsTable[[#This Row],[Cost]]</f>
        <v>400</v>
      </c>
      <c r="O31">
        <v>0</v>
      </c>
    </row>
    <row r="32" spans="2:15" x14ac:dyDescent="0.35">
      <c r="B32" t="s">
        <v>95</v>
      </c>
      <c r="C32" t="s">
        <v>98</v>
      </c>
      <c r="E32">
        <v>6</v>
      </c>
      <c r="F32">
        <v>0</v>
      </c>
      <c r="G32">
        <v>0</v>
      </c>
      <c r="H32" t="b">
        <v>1</v>
      </c>
      <c r="I32" s="110" t="s">
        <v>699</v>
      </c>
      <c r="J32" s="9"/>
      <c r="L32">
        <v>300</v>
      </c>
      <c r="M32" t="b">
        <v>1</v>
      </c>
      <c r="N32">
        <f>OptionsTable[[#This Row],[Cost]]</f>
        <v>300</v>
      </c>
      <c r="O32">
        <v>0</v>
      </c>
    </row>
    <row r="33" spans="2:15" x14ac:dyDescent="0.35">
      <c r="B33" t="s">
        <v>270</v>
      </c>
      <c r="C33" t="s">
        <v>294</v>
      </c>
      <c r="E33">
        <v>7</v>
      </c>
      <c r="F33">
        <v>0</v>
      </c>
      <c r="G33">
        <v>0</v>
      </c>
      <c r="H33" t="b">
        <v>1</v>
      </c>
      <c r="I33" s="110" t="s">
        <v>700</v>
      </c>
      <c r="J33" s="9"/>
      <c r="L33">
        <v>20</v>
      </c>
      <c r="M33" t="b">
        <v>0</v>
      </c>
      <c r="N33">
        <f>OptionsTable[[#This Row],[Cost]]</f>
        <v>20</v>
      </c>
      <c r="O33">
        <v>0</v>
      </c>
    </row>
    <row r="34" spans="2:15" x14ac:dyDescent="0.35">
      <c r="B34" t="s">
        <v>270</v>
      </c>
      <c r="C34" t="s">
        <v>601</v>
      </c>
      <c r="E34">
        <v>7</v>
      </c>
      <c r="F34">
        <v>0</v>
      </c>
      <c r="G34">
        <v>0</v>
      </c>
      <c r="H34" t="b">
        <v>1</v>
      </c>
      <c r="I34" s="110"/>
      <c r="J34" s="9"/>
      <c r="L34">
        <v>500</v>
      </c>
      <c r="M34" t="b">
        <v>0</v>
      </c>
      <c r="N34">
        <f>OptionsTable[[#This Row],[Cost]]</f>
        <v>500</v>
      </c>
      <c r="O34">
        <v>0</v>
      </c>
    </row>
    <row r="35" spans="2:15" x14ac:dyDescent="0.35">
      <c r="B35" t="s">
        <v>9</v>
      </c>
      <c r="C35" t="s">
        <v>583</v>
      </c>
      <c r="D35" t="s">
        <v>0</v>
      </c>
      <c r="E35">
        <v>7</v>
      </c>
      <c r="F35">
        <v>0</v>
      </c>
      <c r="G35">
        <v>0</v>
      </c>
      <c r="H35" t="b">
        <v>1</v>
      </c>
      <c r="I35" s="110"/>
      <c r="J35" s="9"/>
      <c r="L35">
        <v>500</v>
      </c>
      <c r="M35" t="b">
        <v>0</v>
      </c>
      <c r="N35">
        <f>OptionsTable[[#This Row],[Cost]]</f>
        <v>500</v>
      </c>
      <c r="O35">
        <v>0</v>
      </c>
    </row>
    <row r="36" spans="2:15" x14ac:dyDescent="0.35">
      <c r="B36" t="s">
        <v>9</v>
      </c>
      <c r="C36" t="s">
        <v>584</v>
      </c>
      <c r="D36" t="s">
        <v>3</v>
      </c>
      <c r="E36">
        <v>9</v>
      </c>
      <c r="F36">
        <v>0</v>
      </c>
      <c r="G36">
        <v>0</v>
      </c>
      <c r="H36" t="b">
        <v>1</v>
      </c>
      <c r="I36" s="128" t="s">
        <v>697</v>
      </c>
      <c r="J36" s="9" t="s">
        <v>543</v>
      </c>
      <c r="L36">
        <v>1250</v>
      </c>
      <c r="M36" t="b">
        <v>0</v>
      </c>
      <c r="N36">
        <f>OptionsTable[[#This Row],[Cost]]</f>
        <v>1250</v>
      </c>
      <c r="O36">
        <v>0</v>
      </c>
    </row>
    <row r="37" spans="2:15" x14ac:dyDescent="0.35">
      <c r="B37" t="s">
        <v>270</v>
      </c>
      <c r="C37" t="s">
        <v>292</v>
      </c>
      <c r="E37">
        <v>8</v>
      </c>
      <c r="F37">
        <v>0</v>
      </c>
      <c r="G37">
        <v>0</v>
      </c>
      <c r="H37" t="b">
        <v>1</v>
      </c>
      <c r="I37" s="110"/>
      <c r="J37" s="9"/>
      <c r="L37">
        <v>10</v>
      </c>
      <c r="M37" t="b">
        <v>1</v>
      </c>
      <c r="N37">
        <f>OptionsTable[[#This Row],[Cost]]</f>
        <v>10</v>
      </c>
      <c r="O37">
        <v>0</v>
      </c>
    </row>
    <row r="38" spans="2:15" x14ac:dyDescent="0.35">
      <c r="B38" t="s">
        <v>9</v>
      </c>
      <c r="C38" t="s">
        <v>214</v>
      </c>
      <c r="D38" t="s">
        <v>0</v>
      </c>
      <c r="E38">
        <v>8</v>
      </c>
      <c r="F38">
        <v>0</v>
      </c>
      <c r="G38">
        <v>0</v>
      </c>
      <c r="H38" t="b">
        <v>1</v>
      </c>
      <c r="I38" s="128"/>
      <c r="J38" s="10"/>
      <c r="K38" s="27"/>
      <c r="L38">
        <v>1500</v>
      </c>
      <c r="M38" t="b">
        <v>0</v>
      </c>
      <c r="N38">
        <f>OptionsTable[[#This Row],[Cost]]</f>
        <v>1500</v>
      </c>
      <c r="O38">
        <v>0</v>
      </c>
    </row>
    <row r="39" spans="2:15" x14ac:dyDescent="0.35">
      <c r="B39" t="s">
        <v>9</v>
      </c>
      <c r="C39" t="s">
        <v>215</v>
      </c>
      <c r="D39" t="s">
        <v>1</v>
      </c>
      <c r="E39">
        <v>10</v>
      </c>
      <c r="F39">
        <v>0</v>
      </c>
      <c r="G39">
        <v>0</v>
      </c>
      <c r="H39" t="b">
        <v>1</v>
      </c>
      <c r="I39" s="128"/>
      <c r="J39" s="10" t="s">
        <v>342</v>
      </c>
      <c r="K39" s="27"/>
      <c r="L39">
        <v>3500</v>
      </c>
      <c r="M39" t="b">
        <v>0</v>
      </c>
      <c r="N39">
        <f>OptionsTable[[#This Row],[Cost]]</f>
        <v>3500</v>
      </c>
      <c r="O39">
        <v>0</v>
      </c>
    </row>
    <row r="40" spans="2:15" x14ac:dyDescent="0.35">
      <c r="B40" t="s">
        <v>9</v>
      </c>
      <c r="C40" t="s">
        <v>216</v>
      </c>
      <c r="D40" t="s">
        <v>3</v>
      </c>
      <c r="E40">
        <v>12</v>
      </c>
      <c r="F40">
        <v>0</v>
      </c>
      <c r="G40">
        <v>0</v>
      </c>
      <c r="H40" t="b">
        <v>1</v>
      </c>
      <c r="I40" s="128"/>
      <c r="J40" s="10" t="s">
        <v>342</v>
      </c>
      <c r="K40" s="27"/>
      <c r="L40">
        <v>10000</v>
      </c>
      <c r="M40" t="b">
        <v>0</v>
      </c>
      <c r="N40">
        <f>OptionsTable[[#This Row],[Cost]]</f>
        <v>10000</v>
      </c>
      <c r="O40">
        <v>0</v>
      </c>
    </row>
    <row r="41" spans="2:15" x14ac:dyDescent="0.35">
      <c r="B41" t="s">
        <v>270</v>
      </c>
      <c r="C41" t="s">
        <v>729</v>
      </c>
      <c r="E41">
        <v>10</v>
      </c>
      <c r="F41">
        <v>0</v>
      </c>
      <c r="G41">
        <v>0</v>
      </c>
      <c r="H41" t="b">
        <v>1</v>
      </c>
      <c r="I41" s="128"/>
      <c r="J41" s="10"/>
      <c r="K41" s="27"/>
      <c r="L41">
        <v>10000</v>
      </c>
      <c r="M41" t="b">
        <v>0</v>
      </c>
      <c r="N41">
        <f>OptionsTable[[#This Row],[Cost]]</f>
        <v>10000</v>
      </c>
      <c r="O41">
        <v>0</v>
      </c>
    </row>
    <row r="42" spans="2:15" x14ac:dyDescent="0.35">
      <c r="B42" t="s">
        <v>9</v>
      </c>
      <c r="C42" t="s">
        <v>12</v>
      </c>
      <c r="E42">
        <v>12</v>
      </c>
      <c r="F42">
        <v>0</v>
      </c>
      <c r="G42">
        <v>0</v>
      </c>
      <c r="H42" t="b">
        <v>1</v>
      </c>
      <c r="I42" s="128" t="s">
        <v>689</v>
      </c>
      <c r="J42" s="10" t="s">
        <v>343</v>
      </c>
      <c r="K42" s="27"/>
      <c r="L42">
        <v>2000</v>
      </c>
      <c r="M42" t="b">
        <v>0</v>
      </c>
      <c r="N42">
        <f>OptionsTable[[#This Row],[Cost]]</f>
        <v>2000</v>
      </c>
      <c r="O42">
        <v>0</v>
      </c>
    </row>
    <row r="43" spans="2:15" x14ac:dyDescent="0.35">
      <c r="B43" t="s">
        <v>95</v>
      </c>
      <c r="C43" t="s">
        <v>99</v>
      </c>
      <c r="E43">
        <v>10</v>
      </c>
      <c r="F43">
        <v>0</v>
      </c>
      <c r="G43">
        <v>0</v>
      </c>
      <c r="H43" t="b">
        <v>1</v>
      </c>
      <c r="I43" s="110" t="s">
        <v>378</v>
      </c>
      <c r="J43" s="9" t="s">
        <v>341</v>
      </c>
      <c r="L43">
        <v>100</v>
      </c>
      <c r="M43" t="b">
        <v>1</v>
      </c>
      <c r="N43">
        <f>OptionsTable[[#This Row],[Cost]]</f>
        <v>100</v>
      </c>
      <c r="O43">
        <v>0</v>
      </c>
    </row>
    <row r="44" spans="2:15" x14ac:dyDescent="0.35">
      <c r="B44" t="s">
        <v>270</v>
      </c>
      <c r="C44" t="s">
        <v>746</v>
      </c>
      <c r="D44" t="s">
        <v>0</v>
      </c>
      <c r="E44">
        <v>7</v>
      </c>
      <c r="F44">
        <v>0</v>
      </c>
      <c r="G44">
        <v>0</v>
      </c>
      <c r="H44" t="b">
        <v>1</v>
      </c>
      <c r="I44" s="110" t="s">
        <v>701</v>
      </c>
      <c r="J44" s="9"/>
      <c r="L44">
        <v>20000</v>
      </c>
      <c r="M44" t="b">
        <v>1</v>
      </c>
      <c r="N44">
        <f>OptionsTable[[#This Row],[Cost]]</f>
        <v>20000</v>
      </c>
      <c r="O44">
        <v>0</v>
      </c>
    </row>
    <row r="45" spans="2:15" x14ac:dyDescent="0.35">
      <c r="B45" t="s">
        <v>270</v>
      </c>
      <c r="C45" t="s">
        <v>747</v>
      </c>
      <c r="D45" t="s">
        <v>1</v>
      </c>
      <c r="E45">
        <v>8</v>
      </c>
      <c r="F45">
        <v>0</v>
      </c>
      <c r="G45">
        <v>0</v>
      </c>
      <c r="H45" t="b">
        <v>1</v>
      </c>
      <c r="I45" s="110" t="s">
        <v>702</v>
      </c>
      <c r="J45" s="9"/>
      <c r="L45">
        <v>50000</v>
      </c>
      <c r="M45" t="b">
        <v>1</v>
      </c>
      <c r="N45">
        <f>OptionsTable[[#This Row],[Cost]]</f>
        <v>50000</v>
      </c>
      <c r="O45">
        <v>0</v>
      </c>
    </row>
    <row r="46" spans="2:15" x14ac:dyDescent="0.35">
      <c r="B46" t="s">
        <v>95</v>
      </c>
      <c r="C46" t="s">
        <v>578</v>
      </c>
      <c r="D46" t="s">
        <v>0</v>
      </c>
      <c r="E46">
        <v>6</v>
      </c>
      <c r="F46">
        <v>0</v>
      </c>
      <c r="G46">
        <v>0</v>
      </c>
      <c r="H46" t="b">
        <v>1</v>
      </c>
      <c r="I46" s="110" t="s">
        <v>717</v>
      </c>
      <c r="J46" s="9"/>
      <c r="L46">
        <v>500</v>
      </c>
      <c r="M46" t="b">
        <v>1</v>
      </c>
      <c r="N46">
        <f>OptionsTable[[#This Row],[Cost]]</f>
        <v>500</v>
      </c>
      <c r="O46">
        <v>0</v>
      </c>
    </row>
    <row r="47" spans="2:15" x14ac:dyDescent="0.35">
      <c r="B47" t="s">
        <v>95</v>
      </c>
      <c r="C47" t="s">
        <v>579</v>
      </c>
      <c r="D47" t="s">
        <v>1</v>
      </c>
      <c r="E47">
        <v>8</v>
      </c>
      <c r="F47">
        <v>0</v>
      </c>
      <c r="G47">
        <v>0</v>
      </c>
      <c r="H47" t="b">
        <v>1</v>
      </c>
      <c r="I47" s="110" t="s">
        <v>718</v>
      </c>
      <c r="J47" s="9"/>
      <c r="L47">
        <v>100</v>
      </c>
      <c r="M47" t="b">
        <v>1</v>
      </c>
      <c r="N47">
        <f>OptionsTable[[#This Row],[Cost]]</f>
        <v>100</v>
      </c>
      <c r="O47">
        <v>0</v>
      </c>
    </row>
    <row r="48" spans="2:15" x14ac:dyDescent="0.35">
      <c r="B48" t="s">
        <v>95</v>
      </c>
      <c r="C48" t="s">
        <v>580</v>
      </c>
      <c r="D48" t="s">
        <v>2</v>
      </c>
      <c r="E48">
        <v>10</v>
      </c>
      <c r="F48">
        <v>0</v>
      </c>
      <c r="G48">
        <v>0</v>
      </c>
      <c r="H48" t="b">
        <v>1</v>
      </c>
      <c r="I48" s="110" t="s">
        <v>719</v>
      </c>
      <c r="J48" s="9"/>
      <c r="L48">
        <v>200</v>
      </c>
      <c r="M48" t="b">
        <v>1</v>
      </c>
      <c r="N48">
        <f>OptionsTable[[#This Row],[Cost]]</f>
        <v>200</v>
      </c>
      <c r="O48">
        <v>0</v>
      </c>
    </row>
    <row r="49" spans="2:15" x14ac:dyDescent="0.35">
      <c r="B49" t="s">
        <v>95</v>
      </c>
      <c r="C49" t="s">
        <v>581</v>
      </c>
      <c r="D49" t="s">
        <v>3</v>
      </c>
      <c r="E49">
        <v>12</v>
      </c>
      <c r="F49">
        <v>0</v>
      </c>
      <c r="G49">
        <v>0</v>
      </c>
      <c r="H49" t="b">
        <v>1</v>
      </c>
      <c r="I49" s="110" t="s">
        <v>720</v>
      </c>
      <c r="J49" s="9"/>
      <c r="L49">
        <v>500</v>
      </c>
      <c r="M49" t="b">
        <v>1</v>
      </c>
      <c r="N49">
        <f>OptionsTable[[#This Row],[Cost]]</f>
        <v>500</v>
      </c>
      <c r="O49">
        <v>0</v>
      </c>
    </row>
    <row r="50" spans="2:15" x14ac:dyDescent="0.35">
      <c r="B50" t="s">
        <v>270</v>
      </c>
      <c r="C50" t="s">
        <v>293</v>
      </c>
      <c r="E50">
        <v>7</v>
      </c>
      <c r="F50">
        <v>0</v>
      </c>
      <c r="G50">
        <v>0</v>
      </c>
      <c r="H50" t="b">
        <v>1</v>
      </c>
      <c r="I50" s="110" t="s">
        <v>700</v>
      </c>
      <c r="J50" s="9"/>
      <c r="L50">
        <v>10</v>
      </c>
      <c r="M50" t="b">
        <v>0</v>
      </c>
      <c r="N50">
        <f>OptionsTable[[#This Row],[Cost]]</f>
        <v>10</v>
      </c>
      <c r="O50">
        <v>0</v>
      </c>
    </row>
    <row r="51" spans="2:15" x14ac:dyDescent="0.35">
      <c r="B51" t="s">
        <v>40</v>
      </c>
      <c r="C51" t="s">
        <v>463</v>
      </c>
      <c r="D51" t="s">
        <v>0</v>
      </c>
      <c r="E51">
        <v>7</v>
      </c>
      <c r="F51">
        <v>0</v>
      </c>
      <c r="G51">
        <v>0</v>
      </c>
      <c r="H51" t="b">
        <v>1</v>
      </c>
      <c r="I51" s="110"/>
      <c r="J51" s="9"/>
      <c r="L51">
        <v>250</v>
      </c>
      <c r="M51" t="b">
        <v>0</v>
      </c>
      <c r="N51">
        <v>0</v>
      </c>
      <c r="O51">
        <v>0</v>
      </c>
    </row>
    <row r="52" spans="2:15" x14ac:dyDescent="0.35">
      <c r="B52" t="s">
        <v>40</v>
      </c>
      <c r="C52" t="s">
        <v>464</v>
      </c>
      <c r="D52" t="s">
        <v>1</v>
      </c>
      <c r="E52">
        <v>8</v>
      </c>
      <c r="F52">
        <v>0</v>
      </c>
      <c r="G52">
        <v>0</v>
      </c>
      <c r="H52" t="b">
        <v>1</v>
      </c>
      <c r="I52" s="110"/>
      <c r="J52" s="9"/>
      <c r="L52">
        <v>100</v>
      </c>
      <c r="M52" t="b">
        <v>0</v>
      </c>
      <c r="N52">
        <v>0</v>
      </c>
      <c r="O52">
        <v>0</v>
      </c>
    </row>
    <row r="53" spans="2:15" x14ac:dyDescent="0.35">
      <c r="B53" t="s">
        <v>40</v>
      </c>
      <c r="C53" t="s">
        <v>465</v>
      </c>
      <c r="D53" t="s">
        <v>1</v>
      </c>
      <c r="E53">
        <v>8</v>
      </c>
      <c r="F53">
        <v>0</v>
      </c>
      <c r="G53">
        <v>0</v>
      </c>
      <c r="H53" t="b">
        <v>1</v>
      </c>
      <c r="I53" s="110"/>
      <c r="J53" s="9"/>
      <c r="L53">
        <v>500</v>
      </c>
      <c r="M53" t="b">
        <v>0</v>
      </c>
      <c r="N53">
        <f>OptionsTable[[#This Row],[Cost]]</f>
        <v>500</v>
      </c>
      <c r="O53">
        <v>0</v>
      </c>
    </row>
    <row r="54" spans="2:15" x14ac:dyDescent="0.35">
      <c r="B54" t="s">
        <v>40</v>
      </c>
      <c r="C54" t="s">
        <v>466</v>
      </c>
      <c r="D54" t="s">
        <v>2</v>
      </c>
      <c r="E54">
        <v>10</v>
      </c>
      <c r="F54">
        <v>0</v>
      </c>
      <c r="G54">
        <v>0</v>
      </c>
      <c r="H54" t="b">
        <v>1</v>
      </c>
      <c r="I54" s="110"/>
      <c r="J54" s="9"/>
      <c r="L54">
        <v>250</v>
      </c>
      <c r="M54" t="b">
        <v>0</v>
      </c>
      <c r="N54">
        <f>OptionsTable[[#This Row],[Cost]]</f>
        <v>250</v>
      </c>
      <c r="O54">
        <v>0</v>
      </c>
    </row>
    <row r="55" spans="2:15" x14ac:dyDescent="0.35">
      <c r="B55" t="s">
        <v>40</v>
      </c>
      <c r="C55" t="s">
        <v>467</v>
      </c>
      <c r="D55" t="s">
        <v>3</v>
      </c>
      <c r="E55">
        <v>13</v>
      </c>
      <c r="F55">
        <v>0</v>
      </c>
      <c r="G55">
        <v>0</v>
      </c>
      <c r="H55" t="b">
        <v>1</v>
      </c>
      <c r="I55" s="110"/>
      <c r="J55" s="9"/>
      <c r="L55">
        <v>100</v>
      </c>
      <c r="M55" t="b">
        <v>0</v>
      </c>
      <c r="N55">
        <f>OptionsTable[[#This Row],[Cost]]</f>
        <v>100</v>
      </c>
      <c r="O55">
        <v>0</v>
      </c>
    </row>
    <row r="56" spans="2:15" x14ac:dyDescent="0.35">
      <c r="B56" t="s">
        <v>40</v>
      </c>
      <c r="C56" t="s">
        <v>468</v>
      </c>
      <c r="D56" t="s">
        <v>1</v>
      </c>
      <c r="E56">
        <v>9</v>
      </c>
      <c r="F56">
        <v>0</v>
      </c>
      <c r="G56">
        <v>0</v>
      </c>
      <c r="H56" t="b">
        <v>1</v>
      </c>
      <c r="I56" s="110"/>
      <c r="J56" s="9"/>
      <c r="L56">
        <v>1000</v>
      </c>
      <c r="M56" t="b">
        <v>0</v>
      </c>
      <c r="N56">
        <f>OptionsTable[[#This Row],[Cost]]</f>
        <v>1000</v>
      </c>
      <c r="O56">
        <v>0</v>
      </c>
    </row>
    <row r="57" spans="2:15" x14ac:dyDescent="0.35">
      <c r="B57" t="s">
        <v>40</v>
      </c>
      <c r="C57" t="s">
        <v>469</v>
      </c>
      <c r="D57" t="s">
        <v>2</v>
      </c>
      <c r="E57">
        <v>11</v>
      </c>
      <c r="F57">
        <v>0</v>
      </c>
      <c r="G57">
        <v>0</v>
      </c>
      <c r="H57" t="b">
        <v>1</v>
      </c>
      <c r="I57" s="110"/>
      <c r="J57" s="9"/>
      <c r="L57">
        <v>500</v>
      </c>
      <c r="M57" t="b">
        <v>0</v>
      </c>
      <c r="N57">
        <f>OptionsTable[[#This Row],[Cost]]</f>
        <v>500</v>
      </c>
      <c r="O57">
        <v>0</v>
      </c>
    </row>
    <row r="58" spans="2:15" x14ac:dyDescent="0.35">
      <c r="B58" t="s">
        <v>40</v>
      </c>
      <c r="C58" t="s">
        <v>470</v>
      </c>
      <c r="D58" t="s">
        <v>3</v>
      </c>
      <c r="E58">
        <v>14</v>
      </c>
      <c r="F58">
        <v>0</v>
      </c>
      <c r="G58">
        <v>0</v>
      </c>
      <c r="H58" t="b">
        <v>1</v>
      </c>
      <c r="I58" s="110"/>
      <c r="J58" s="9"/>
      <c r="L58">
        <v>250</v>
      </c>
      <c r="M58" t="b">
        <v>0</v>
      </c>
      <c r="N58">
        <f>OptionsTable[[#This Row],[Cost]]</f>
        <v>250</v>
      </c>
      <c r="O58">
        <v>0</v>
      </c>
    </row>
    <row r="59" spans="2:15" x14ac:dyDescent="0.35">
      <c r="B59" t="s">
        <v>40</v>
      </c>
      <c r="C59" t="s">
        <v>885</v>
      </c>
      <c r="D59" t="s">
        <v>1</v>
      </c>
      <c r="E59">
        <v>9</v>
      </c>
      <c r="F59">
        <v>0</v>
      </c>
      <c r="G59">
        <v>0</v>
      </c>
      <c r="H59" t="b">
        <v>1</v>
      </c>
      <c r="I59" s="110"/>
      <c r="J59" s="9"/>
      <c r="L59">
        <v>5000</v>
      </c>
      <c r="M59" t="b">
        <v>0</v>
      </c>
      <c r="N59">
        <f>OptionsTable[[#This Row],[Cost]]</f>
        <v>5000</v>
      </c>
      <c r="O59">
        <v>0</v>
      </c>
    </row>
    <row r="60" spans="2:15" x14ac:dyDescent="0.35">
      <c r="B60" t="s">
        <v>40</v>
      </c>
      <c r="C60" t="s">
        <v>886</v>
      </c>
      <c r="D60" t="s">
        <v>2</v>
      </c>
      <c r="E60">
        <v>12</v>
      </c>
      <c r="F60">
        <v>0</v>
      </c>
      <c r="G60">
        <v>0</v>
      </c>
      <c r="H60" t="b">
        <v>1</v>
      </c>
      <c r="I60" s="110"/>
      <c r="J60" s="9"/>
      <c r="L60">
        <v>1000</v>
      </c>
      <c r="M60" t="b">
        <v>0</v>
      </c>
      <c r="N60">
        <f>OptionsTable[[#This Row],[Cost]]</f>
        <v>1000</v>
      </c>
      <c r="O60">
        <v>0</v>
      </c>
    </row>
    <row r="61" spans="2:15" x14ac:dyDescent="0.35">
      <c r="B61" t="s">
        <v>40</v>
      </c>
      <c r="C61" t="s">
        <v>887</v>
      </c>
      <c r="D61" t="s">
        <v>3</v>
      </c>
      <c r="E61">
        <v>15</v>
      </c>
      <c r="F61">
        <v>0</v>
      </c>
      <c r="G61">
        <v>0</v>
      </c>
      <c r="H61" t="b">
        <v>1</v>
      </c>
      <c r="I61" s="110"/>
      <c r="J61" s="9"/>
      <c r="L61">
        <v>500</v>
      </c>
      <c r="M61" t="b">
        <v>0</v>
      </c>
      <c r="N61">
        <f>OptionsTable[[#This Row],[Cost]]</f>
        <v>500</v>
      </c>
      <c r="O61">
        <v>0</v>
      </c>
    </row>
    <row r="62" spans="2:15" x14ac:dyDescent="0.35">
      <c r="B62" t="s">
        <v>9</v>
      </c>
      <c r="C62" t="s">
        <v>517</v>
      </c>
      <c r="E62">
        <v>6</v>
      </c>
      <c r="F62">
        <v>0</v>
      </c>
      <c r="G62">
        <v>0</v>
      </c>
      <c r="H62" t="b">
        <v>1</v>
      </c>
      <c r="I62" s="110" t="s">
        <v>518</v>
      </c>
      <c r="J62" s="9" t="s">
        <v>543</v>
      </c>
      <c r="L62">
        <v>500</v>
      </c>
      <c r="M62" t="b">
        <v>0</v>
      </c>
      <c r="N62">
        <f>OptionsTable[[#This Row],[Cost]]</f>
        <v>500</v>
      </c>
      <c r="O62">
        <v>0</v>
      </c>
    </row>
    <row r="63" spans="2:15" x14ac:dyDescent="0.35">
      <c r="B63" t="s">
        <v>95</v>
      </c>
      <c r="C63" t="s">
        <v>100</v>
      </c>
      <c r="E63">
        <v>6</v>
      </c>
      <c r="F63">
        <v>0</v>
      </c>
      <c r="G63">
        <v>0</v>
      </c>
      <c r="H63" t="b">
        <v>1</v>
      </c>
      <c r="I63" s="128" t="s">
        <v>403</v>
      </c>
      <c r="J63" s="9"/>
      <c r="L63">
        <v>600</v>
      </c>
      <c r="M63" t="b">
        <v>1</v>
      </c>
      <c r="N63">
        <f>OptionsTable[[#This Row],[Cost]]</f>
        <v>600</v>
      </c>
      <c r="O63">
        <v>0</v>
      </c>
    </row>
    <row r="64" spans="2:15" x14ac:dyDescent="0.35">
      <c r="B64" t="s">
        <v>95</v>
      </c>
      <c r="C64" t="s">
        <v>604</v>
      </c>
      <c r="E64">
        <v>10</v>
      </c>
      <c r="F64">
        <v>0</v>
      </c>
      <c r="G64">
        <v>0</v>
      </c>
      <c r="H64" t="b">
        <v>1</v>
      </c>
      <c r="I64" s="128" t="s">
        <v>403</v>
      </c>
      <c r="J64" s="9"/>
      <c r="L64">
        <v>50000</v>
      </c>
      <c r="M64" t="b">
        <v>1</v>
      </c>
      <c r="N64">
        <f>OptionsTable[[#This Row],[Cost]]</f>
        <v>50000</v>
      </c>
      <c r="O64">
        <v>0</v>
      </c>
    </row>
    <row r="65" spans="2:15" x14ac:dyDescent="0.35">
      <c r="B65" t="s">
        <v>40</v>
      </c>
      <c r="C65" t="s">
        <v>648</v>
      </c>
      <c r="D65" t="s">
        <v>0</v>
      </c>
      <c r="E65">
        <v>7</v>
      </c>
      <c r="F65">
        <v>0</v>
      </c>
      <c r="G65">
        <v>0</v>
      </c>
      <c r="H65" t="b">
        <v>1</v>
      </c>
      <c r="I65" s="128" t="s">
        <v>645</v>
      </c>
      <c r="J65" s="9"/>
      <c r="L65">
        <v>200</v>
      </c>
      <c r="M65" t="b">
        <v>0</v>
      </c>
      <c r="N65">
        <v>0</v>
      </c>
      <c r="O65">
        <v>0</v>
      </c>
    </row>
    <row r="66" spans="2:15" x14ac:dyDescent="0.35">
      <c r="B66" t="s">
        <v>40</v>
      </c>
      <c r="C66" t="s">
        <v>649</v>
      </c>
      <c r="D66" t="s">
        <v>1</v>
      </c>
      <c r="E66">
        <v>8</v>
      </c>
      <c r="F66">
        <v>0</v>
      </c>
      <c r="G66">
        <v>0</v>
      </c>
      <c r="H66" t="b">
        <v>1</v>
      </c>
      <c r="I66" s="128" t="s">
        <v>646</v>
      </c>
      <c r="J66" s="9"/>
      <c r="L66">
        <v>500</v>
      </c>
      <c r="M66" t="b">
        <v>0</v>
      </c>
      <c r="N66">
        <f>OptionsTable[[#This Row],[Cost]]</f>
        <v>500</v>
      </c>
      <c r="O66">
        <v>0</v>
      </c>
    </row>
    <row r="67" spans="2:15" x14ac:dyDescent="0.35">
      <c r="B67" t="s">
        <v>40</v>
      </c>
      <c r="C67" t="s">
        <v>650</v>
      </c>
      <c r="D67" t="s">
        <v>3</v>
      </c>
      <c r="E67">
        <v>10</v>
      </c>
      <c r="F67">
        <v>0</v>
      </c>
      <c r="G67">
        <v>0</v>
      </c>
      <c r="H67" t="b">
        <v>1</v>
      </c>
      <c r="I67" s="128" t="s">
        <v>647</v>
      </c>
      <c r="J67" s="9"/>
      <c r="L67">
        <v>2000</v>
      </c>
      <c r="M67" t="b">
        <v>0</v>
      </c>
      <c r="N67">
        <f>OptionsTable[[#This Row],[Cost]]</f>
        <v>2000</v>
      </c>
      <c r="O67">
        <v>0</v>
      </c>
    </row>
    <row r="68" spans="2:15" x14ac:dyDescent="0.35">
      <c r="B68" t="s">
        <v>9</v>
      </c>
      <c r="C68" t="s">
        <v>39</v>
      </c>
      <c r="E68">
        <v>7</v>
      </c>
      <c r="F68">
        <v>0</v>
      </c>
      <c r="G68">
        <v>0</v>
      </c>
      <c r="H68" t="b">
        <v>1</v>
      </c>
      <c r="I68" s="128"/>
      <c r="J68" s="10"/>
      <c r="K68" s="27"/>
      <c r="L68">
        <v>50</v>
      </c>
      <c r="M68" t="b">
        <v>0</v>
      </c>
      <c r="N68">
        <v>0</v>
      </c>
      <c r="O68">
        <v>0</v>
      </c>
    </row>
    <row r="69" spans="2:15" x14ac:dyDescent="0.35">
      <c r="B69" t="s">
        <v>40</v>
      </c>
      <c r="C69" t="s">
        <v>41</v>
      </c>
      <c r="D69" t="s">
        <v>0</v>
      </c>
      <c r="E69">
        <v>8</v>
      </c>
      <c r="F69">
        <v>0</v>
      </c>
      <c r="G69">
        <v>0</v>
      </c>
      <c r="H69" t="b">
        <v>1</v>
      </c>
      <c r="I69" s="110"/>
      <c r="J69" s="9"/>
      <c r="L69">
        <v>100</v>
      </c>
      <c r="M69" t="b">
        <v>0</v>
      </c>
      <c r="N69">
        <v>0</v>
      </c>
      <c r="O69">
        <v>0</v>
      </c>
    </row>
    <row r="70" spans="2:15" x14ac:dyDescent="0.35">
      <c r="B70" t="s">
        <v>40</v>
      </c>
      <c r="C70" t="s">
        <v>453</v>
      </c>
      <c r="D70" t="s">
        <v>1</v>
      </c>
      <c r="E70">
        <v>10</v>
      </c>
      <c r="F70">
        <v>0</v>
      </c>
      <c r="G70">
        <v>0</v>
      </c>
      <c r="H70" t="b">
        <v>1</v>
      </c>
      <c r="I70" s="110"/>
      <c r="J70" s="9"/>
      <c r="L70">
        <v>500</v>
      </c>
      <c r="M70" t="b">
        <v>0</v>
      </c>
      <c r="N70">
        <f>OptionsTable[[#This Row],[Cost]]</f>
        <v>500</v>
      </c>
      <c r="O70">
        <v>0</v>
      </c>
    </row>
    <row r="71" spans="2:15" x14ac:dyDescent="0.35">
      <c r="B71" t="s">
        <v>40</v>
      </c>
      <c r="C71" t="s">
        <v>42</v>
      </c>
      <c r="D71" t="s">
        <v>0</v>
      </c>
      <c r="E71">
        <v>8</v>
      </c>
      <c r="F71">
        <v>0</v>
      </c>
      <c r="G71">
        <v>0</v>
      </c>
      <c r="H71" t="b">
        <v>1</v>
      </c>
      <c r="I71" s="110" t="s">
        <v>412</v>
      </c>
      <c r="J71" s="9"/>
      <c r="L71">
        <v>10</v>
      </c>
      <c r="M71" t="b">
        <v>0</v>
      </c>
      <c r="N71">
        <v>0</v>
      </c>
      <c r="O71">
        <v>0</v>
      </c>
    </row>
    <row r="72" spans="2:15" x14ac:dyDescent="0.35">
      <c r="B72" t="s">
        <v>210</v>
      </c>
      <c r="C72" t="s">
        <v>213</v>
      </c>
      <c r="D72" t="s">
        <v>117</v>
      </c>
      <c r="E72">
        <v>0</v>
      </c>
      <c r="F72">
        <v>0</v>
      </c>
      <c r="G72">
        <v>0</v>
      </c>
      <c r="H72" t="b">
        <v>0</v>
      </c>
      <c r="I72" s="128"/>
      <c r="J72" s="10"/>
      <c r="K72" s="27"/>
      <c r="L72">
        <v>0</v>
      </c>
      <c r="M72" t="b">
        <v>0</v>
      </c>
      <c r="N72">
        <f>OptionsTable[[#This Row],[Cost]]</f>
        <v>0</v>
      </c>
      <c r="O72">
        <v>0.5</v>
      </c>
    </row>
    <row r="73" spans="2:15" x14ac:dyDescent="0.35">
      <c r="B73" t="s">
        <v>224</v>
      </c>
      <c r="C73" t="s">
        <v>225</v>
      </c>
      <c r="E73">
        <v>15</v>
      </c>
      <c r="F73">
        <v>1</v>
      </c>
      <c r="G73">
        <v>0</v>
      </c>
      <c r="H73" t="b">
        <v>1</v>
      </c>
      <c r="I73" s="110" t="s">
        <v>413</v>
      </c>
      <c r="J73" s="9" t="s">
        <v>344</v>
      </c>
      <c r="K73" t="s">
        <v>325</v>
      </c>
      <c r="L73">
        <v>10000</v>
      </c>
      <c r="M73" t="b">
        <v>1</v>
      </c>
      <c r="N73">
        <f>OptionsTable[[#This Row],[Cost]]</f>
        <v>10000</v>
      </c>
      <c r="O73">
        <v>1</v>
      </c>
    </row>
    <row r="74" spans="2:15" x14ac:dyDescent="0.35">
      <c r="B74" t="s">
        <v>270</v>
      </c>
      <c r="C74" t="s">
        <v>428</v>
      </c>
      <c r="E74">
        <v>5</v>
      </c>
      <c r="F74">
        <v>1</v>
      </c>
      <c r="G74">
        <v>0</v>
      </c>
      <c r="H74" t="b">
        <v>0</v>
      </c>
      <c r="I74" s="110" t="s">
        <v>446</v>
      </c>
      <c r="J74" s="9"/>
      <c r="L74">
        <v>100</v>
      </c>
      <c r="M74" t="b">
        <v>0</v>
      </c>
      <c r="N74">
        <f>OptionsTable[[#This Row],[Cost]]</f>
        <v>100</v>
      </c>
      <c r="O74">
        <v>1</v>
      </c>
    </row>
    <row r="75" spans="2:15" x14ac:dyDescent="0.35">
      <c r="B75" t="s">
        <v>270</v>
      </c>
      <c r="C75" t="s">
        <v>429</v>
      </c>
      <c r="E75">
        <v>5</v>
      </c>
      <c r="F75">
        <v>4</v>
      </c>
      <c r="G75">
        <v>0</v>
      </c>
      <c r="H75" t="b">
        <v>0</v>
      </c>
      <c r="I75" s="110" t="s">
        <v>447</v>
      </c>
      <c r="J75" s="9"/>
      <c r="L75">
        <v>1000</v>
      </c>
      <c r="M75" t="b">
        <v>0</v>
      </c>
      <c r="N75">
        <f>OptionsTable[[#This Row],[Cost]]</f>
        <v>1000</v>
      </c>
      <c r="O75">
        <v>1</v>
      </c>
    </row>
    <row r="76" spans="2:15" x14ac:dyDescent="0.35">
      <c r="B76" t="s">
        <v>270</v>
      </c>
      <c r="C76" t="s">
        <v>430</v>
      </c>
      <c r="E76">
        <v>5</v>
      </c>
      <c r="F76">
        <v>16</v>
      </c>
      <c r="G76">
        <v>0</v>
      </c>
      <c r="H76" t="b">
        <v>0</v>
      </c>
      <c r="I76" s="110" t="s">
        <v>448</v>
      </c>
      <c r="J76" s="9"/>
      <c r="L76">
        <v>10000</v>
      </c>
      <c r="M76" t="b">
        <v>0</v>
      </c>
      <c r="N76">
        <f>OptionsTable[[#This Row],[Cost]]</f>
        <v>10000</v>
      </c>
      <c r="O76">
        <v>1</v>
      </c>
    </row>
    <row r="77" spans="2:15" x14ac:dyDescent="0.35">
      <c r="B77" t="s">
        <v>497</v>
      </c>
      <c r="C77" t="s">
        <v>616</v>
      </c>
      <c r="D77" t="s">
        <v>0</v>
      </c>
      <c r="E77">
        <v>8</v>
      </c>
      <c r="F77">
        <v>0</v>
      </c>
      <c r="G77">
        <v>0.5</v>
      </c>
      <c r="H77" t="b">
        <v>0</v>
      </c>
      <c r="I77" s="110" t="s">
        <v>501</v>
      </c>
      <c r="J77" s="9"/>
      <c r="L77">
        <v>1000</v>
      </c>
      <c r="M77" t="b">
        <v>1</v>
      </c>
      <c r="N77">
        <f>OptionsTable[[#This Row],[Cost]]</f>
        <v>1000</v>
      </c>
      <c r="O77">
        <v>1</v>
      </c>
    </row>
    <row r="78" spans="2:15" x14ac:dyDescent="0.35">
      <c r="B78" t="s">
        <v>497</v>
      </c>
      <c r="C78" t="s">
        <v>617</v>
      </c>
      <c r="D78" t="s">
        <v>1</v>
      </c>
      <c r="E78">
        <v>10</v>
      </c>
      <c r="F78">
        <v>0</v>
      </c>
      <c r="G78">
        <v>0.5</v>
      </c>
      <c r="H78" t="b">
        <v>0</v>
      </c>
      <c r="I78" s="110" t="s">
        <v>502</v>
      </c>
      <c r="J78" s="9"/>
      <c r="L78">
        <v>2000</v>
      </c>
      <c r="M78" t="b">
        <v>1</v>
      </c>
      <c r="N78">
        <f>OptionsTable[[#This Row],[Cost]]</f>
        <v>2000</v>
      </c>
      <c r="O78">
        <v>1</v>
      </c>
    </row>
    <row r="79" spans="2:15" x14ac:dyDescent="0.35">
      <c r="B79" t="s">
        <v>497</v>
      </c>
      <c r="C79" t="s">
        <v>618</v>
      </c>
      <c r="D79" t="s">
        <v>2</v>
      </c>
      <c r="E79">
        <v>12</v>
      </c>
      <c r="F79">
        <v>0</v>
      </c>
      <c r="G79">
        <v>0.5</v>
      </c>
      <c r="H79" t="b">
        <v>0</v>
      </c>
      <c r="I79" s="110" t="s">
        <v>503</v>
      </c>
      <c r="J79" s="9"/>
      <c r="L79">
        <v>5000</v>
      </c>
      <c r="M79" t="b">
        <v>1</v>
      </c>
      <c r="N79">
        <f>OptionsTable[[#This Row],[Cost]]</f>
        <v>5000</v>
      </c>
      <c r="O79">
        <v>1</v>
      </c>
    </row>
    <row r="80" spans="2:15" x14ac:dyDescent="0.35">
      <c r="B80" t="s">
        <v>497</v>
      </c>
      <c r="C80" t="s">
        <v>619</v>
      </c>
      <c r="D80" t="s">
        <v>3</v>
      </c>
      <c r="E80">
        <v>14</v>
      </c>
      <c r="F80">
        <v>0</v>
      </c>
      <c r="G80">
        <v>0.5</v>
      </c>
      <c r="H80" t="b">
        <v>0</v>
      </c>
      <c r="I80" s="110" t="s">
        <v>504</v>
      </c>
      <c r="J80" s="9"/>
      <c r="L80">
        <v>10000</v>
      </c>
      <c r="M80" t="b">
        <v>1</v>
      </c>
      <c r="N80">
        <f>OptionsTable[[#This Row],[Cost]]</f>
        <v>10000</v>
      </c>
      <c r="O80">
        <v>1</v>
      </c>
    </row>
    <row r="81" spans="2:15" x14ac:dyDescent="0.35">
      <c r="B81" t="s">
        <v>497</v>
      </c>
      <c r="C81" t="s">
        <v>620</v>
      </c>
      <c r="D81" t="s">
        <v>96</v>
      </c>
      <c r="E81">
        <v>16</v>
      </c>
      <c r="F81">
        <v>0</v>
      </c>
      <c r="G81">
        <v>0.5</v>
      </c>
      <c r="H81" t="b">
        <v>0</v>
      </c>
      <c r="I81" s="110" t="s">
        <v>505</v>
      </c>
      <c r="J81" s="9"/>
      <c r="L81">
        <v>20000</v>
      </c>
      <c r="M81" t="b">
        <v>1</v>
      </c>
      <c r="N81">
        <f>OptionsTable[[#This Row],[Cost]]</f>
        <v>20000</v>
      </c>
      <c r="O81">
        <v>1</v>
      </c>
    </row>
    <row r="82" spans="2:15" x14ac:dyDescent="0.35">
      <c r="B82" t="s">
        <v>270</v>
      </c>
      <c r="C82" t="s">
        <v>192</v>
      </c>
      <c r="D82" t="s">
        <v>0</v>
      </c>
      <c r="E82">
        <v>8</v>
      </c>
      <c r="F82">
        <v>2</v>
      </c>
      <c r="G82">
        <v>0</v>
      </c>
      <c r="H82" t="b">
        <v>0</v>
      </c>
      <c r="I82" s="110" t="s">
        <v>389</v>
      </c>
      <c r="L82">
        <v>500</v>
      </c>
      <c r="M82" t="b">
        <v>0</v>
      </c>
      <c r="N82">
        <f>OptionsTable[[#This Row],[Cost]]</f>
        <v>500</v>
      </c>
      <c r="O82">
        <v>1</v>
      </c>
    </row>
    <row r="83" spans="2:15" x14ac:dyDescent="0.35">
      <c r="B83" t="s">
        <v>270</v>
      </c>
      <c r="C83" t="s">
        <v>193</v>
      </c>
      <c r="D83" t="s">
        <v>1</v>
      </c>
      <c r="E83">
        <v>9</v>
      </c>
      <c r="F83">
        <v>2</v>
      </c>
      <c r="G83">
        <v>0</v>
      </c>
      <c r="H83" t="b">
        <v>0</v>
      </c>
      <c r="I83" s="110" t="s">
        <v>390</v>
      </c>
      <c r="L83">
        <v>1000</v>
      </c>
      <c r="M83" t="b">
        <v>0</v>
      </c>
      <c r="N83">
        <f>OptionsTable[[#This Row],[Cost]]</f>
        <v>1000</v>
      </c>
      <c r="O83">
        <v>1</v>
      </c>
    </row>
    <row r="84" spans="2:15" x14ac:dyDescent="0.35">
      <c r="B84" t="s">
        <v>270</v>
      </c>
      <c r="C84" t="s">
        <v>194</v>
      </c>
      <c r="D84" t="s">
        <v>2</v>
      </c>
      <c r="E84">
        <v>10</v>
      </c>
      <c r="F84">
        <v>2</v>
      </c>
      <c r="G84">
        <v>0</v>
      </c>
      <c r="H84" t="b">
        <v>0</v>
      </c>
      <c r="I84" s="110" t="s">
        <v>391</v>
      </c>
      <c r="L84">
        <v>2000</v>
      </c>
      <c r="M84" t="b">
        <v>0</v>
      </c>
      <c r="N84">
        <f>OptionsTable[[#This Row],[Cost]]</f>
        <v>2000</v>
      </c>
      <c r="O84">
        <v>1</v>
      </c>
    </row>
    <row r="85" spans="2:15" x14ac:dyDescent="0.35">
      <c r="B85" t="s">
        <v>270</v>
      </c>
      <c r="C85" t="s">
        <v>195</v>
      </c>
      <c r="D85" t="s">
        <v>3</v>
      </c>
      <c r="E85">
        <v>11</v>
      </c>
      <c r="F85">
        <v>2</v>
      </c>
      <c r="G85">
        <v>0</v>
      </c>
      <c r="H85" t="b">
        <v>0</v>
      </c>
      <c r="I85" s="110" t="s">
        <v>392</v>
      </c>
      <c r="L85">
        <v>5000</v>
      </c>
      <c r="M85" t="b">
        <v>0</v>
      </c>
      <c r="N85">
        <f>OptionsTable[[#This Row],[Cost]]</f>
        <v>5000</v>
      </c>
      <c r="O85">
        <v>1</v>
      </c>
    </row>
    <row r="86" spans="2:15" x14ac:dyDescent="0.35">
      <c r="B86" t="s">
        <v>270</v>
      </c>
      <c r="C86" t="s">
        <v>196</v>
      </c>
      <c r="D86" t="s">
        <v>0</v>
      </c>
      <c r="E86">
        <v>9</v>
      </c>
      <c r="F86">
        <v>3</v>
      </c>
      <c r="G86">
        <v>0</v>
      </c>
      <c r="H86" t="b">
        <v>0</v>
      </c>
      <c r="I86" s="110" t="s">
        <v>389</v>
      </c>
      <c r="L86">
        <v>500</v>
      </c>
      <c r="M86" t="b">
        <v>0</v>
      </c>
      <c r="N86">
        <f>OptionsTable[[#This Row],[Cost]]</f>
        <v>500</v>
      </c>
      <c r="O86">
        <v>1</v>
      </c>
    </row>
    <row r="87" spans="2:15" x14ac:dyDescent="0.35">
      <c r="B87" t="s">
        <v>270</v>
      </c>
      <c r="C87" t="s">
        <v>197</v>
      </c>
      <c r="D87" t="s">
        <v>1</v>
      </c>
      <c r="E87">
        <v>10</v>
      </c>
      <c r="F87">
        <v>3</v>
      </c>
      <c r="G87">
        <v>0</v>
      </c>
      <c r="H87" t="b">
        <v>0</v>
      </c>
      <c r="I87" s="110" t="s">
        <v>390</v>
      </c>
      <c r="L87">
        <v>2000</v>
      </c>
      <c r="M87" t="b">
        <v>0</v>
      </c>
      <c r="N87">
        <f>OptionsTable[[#This Row],[Cost]]</f>
        <v>2000</v>
      </c>
      <c r="O87">
        <v>1</v>
      </c>
    </row>
    <row r="88" spans="2:15" x14ac:dyDescent="0.35">
      <c r="B88" t="s">
        <v>270</v>
      </c>
      <c r="C88" t="s">
        <v>198</v>
      </c>
      <c r="D88" t="s">
        <v>2</v>
      </c>
      <c r="E88">
        <v>11</v>
      </c>
      <c r="F88">
        <v>3</v>
      </c>
      <c r="G88">
        <v>0</v>
      </c>
      <c r="H88" t="b">
        <v>0</v>
      </c>
      <c r="I88" s="110" t="s">
        <v>391</v>
      </c>
      <c r="L88">
        <v>5000</v>
      </c>
      <c r="M88" t="b">
        <v>0</v>
      </c>
      <c r="N88">
        <f>OptionsTable[[#This Row],[Cost]]</f>
        <v>5000</v>
      </c>
      <c r="O88">
        <v>1</v>
      </c>
    </row>
    <row r="89" spans="2:15" x14ac:dyDescent="0.35">
      <c r="B89" t="s">
        <v>270</v>
      </c>
      <c r="C89" t="s">
        <v>199</v>
      </c>
      <c r="D89" t="s">
        <v>3</v>
      </c>
      <c r="E89">
        <v>12</v>
      </c>
      <c r="F89">
        <v>3</v>
      </c>
      <c r="G89">
        <v>0</v>
      </c>
      <c r="H89" t="b">
        <v>0</v>
      </c>
      <c r="I89" s="110" t="s">
        <v>392</v>
      </c>
      <c r="L89">
        <v>10000</v>
      </c>
      <c r="M89" t="b">
        <v>0</v>
      </c>
      <c r="N89">
        <f>OptionsTable[[#This Row],[Cost]]</f>
        <v>10000</v>
      </c>
      <c r="O89">
        <v>1</v>
      </c>
    </row>
    <row r="90" spans="2:15" x14ac:dyDescent="0.35">
      <c r="B90" t="s">
        <v>270</v>
      </c>
      <c r="C90" t="s">
        <v>226</v>
      </c>
      <c r="D90" t="s">
        <v>1</v>
      </c>
      <c r="E90">
        <v>7</v>
      </c>
      <c r="F90">
        <v>1</v>
      </c>
      <c r="G90">
        <v>0</v>
      </c>
      <c r="H90" t="b">
        <v>0</v>
      </c>
      <c r="I90" s="110"/>
      <c r="J90" s="9"/>
      <c r="K90" t="s">
        <v>326</v>
      </c>
      <c r="L90">
        <v>7500</v>
      </c>
      <c r="M90" t="b">
        <v>0</v>
      </c>
      <c r="N90">
        <f>OptionsTable[[#This Row],[Cost]]</f>
        <v>7500</v>
      </c>
      <c r="O90">
        <v>1</v>
      </c>
    </row>
    <row r="91" spans="2:15" x14ac:dyDescent="0.35">
      <c r="B91" t="s">
        <v>270</v>
      </c>
      <c r="C91" t="s">
        <v>227</v>
      </c>
      <c r="D91" t="s">
        <v>2</v>
      </c>
      <c r="E91">
        <v>9</v>
      </c>
      <c r="F91">
        <v>1</v>
      </c>
      <c r="G91">
        <v>0</v>
      </c>
      <c r="H91" t="b">
        <v>0</v>
      </c>
      <c r="I91" s="110"/>
      <c r="J91" s="9"/>
      <c r="K91" t="s">
        <v>327</v>
      </c>
      <c r="L91">
        <v>10000</v>
      </c>
      <c r="M91" t="b">
        <v>0</v>
      </c>
      <c r="N91">
        <f>OptionsTable[[#This Row],[Cost]]</f>
        <v>10000</v>
      </c>
      <c r="O91">
        <v>1</v>
      </c>
    </row>
    <row r="92" spans="2:15" x14ac:dyDescent="0.35">
      <c r="B92" t="s">
        <v>270</v>
      </c>
      <c r="C92" t="s">
        <v>228</v>
      </c>
      <c r="D92" t="s">
        <v>3</v>
      </c>
      <c r="E92">
        <v>11</v>
      </c>
      <c r="F92">
        <v>1</v>
      </c>
      <c r="G92">
        <v>0</v>
      </c>
      <c r="H92" t="b">
        <v>0</v>
      </c>
      <c r="I92" s="110"/>
      <c r="J92" s="9"/>
      <c r="K92" t="s">
        <v>328</v>
      </c>
      <c r="L92">
        <v>15000</v>
      </c>
      <c r="M92" t="b">
        <v>0</v>
      </c>
      <c r="N92">
        <f>OptionsTable[[#This Row],[Cost]]</f>
        <v>15000</v>
      </c>
      <c r="O92">
        <v>1</v>
      </c>
    </row>
    <row r="93" spans="2:15" x14ac:dyDescent="0.35">
      <c r="B93" t="s">
        <v>40</v>
      </c>
      <c r="C93" t="s">
        <v>605</v>
      </c>
      <c r="D93" t="s">
        <v>0</v>
      </c>
      <c r="E93">
        <v>12</v>
      </c>
      <c r="F93">
        <v>2</v>
      </c>
      <c r="G93">
        <v>0</v>
      </c>
      <c r="H93" t="b">
        <v>0</v>
      </c>
      <c r="I93" s="110" t="s">
        <v>806</v>
      </c>
      <c r="J93" s="9"/>
      <c r="L93" s="134">
        <v>9000</v>
      </c>
      <c r="M93" t="b">
        <v>0</v>
      </c>
      <c r="N93">
        <f>OptionsTable[[#This Row],[Cost]]</f>
        <v>9000</v>
      </c>
      <c r="O93">
        <v>1</v>
      </c>
    </row>
    <row r="94" spans="2:15" x14ac:dyDescent="0.35">
      <c r="B94" t="s">
        <v>40</v>
      </c>
      <c r="C94" t="s">
        <v>606</v>
      </c>
      <c r="D94" t="s">
        <v>1</v>
      </c>
      <c r="E94">
        <v>12</v>
      </c>
      <c r="F94">
        <v>1</v>
      </c>
      <c r="G94">
        <v>0</v>
      </c>
      <c r="H94" t="b">
        <v>0</v>
      </c>
      <c r="I94" s="110" t="s">
        <v>807</v>
      </c>
      <c r="J94" s="9"/>
      <c r="L94" s="134">
        <v>27000</v>
      </c>
      <c r="M94" t="b">
        <v>0</v>
      </c>
      <c r="N94">
        <f>OptionsTable[[#This Row],[Cost]]</f>
        <v>27000</v>
      </c>
      <c r="O94">
        <v>1</v>
      </c>
    </row>
    <row r="95" spans="2:15" x14ac:dyDescent="0.35">
      <c r="B95" t="s">
        <v>40</v>
      </c>
      <c r="C95" t="s">
        <v>607</v>
      </c>
      <c r="D95" t="s">
        <v>2</v>
      </c>
      <c r="E95">
        <v>14</v>
      </c>
      <c r="F95">
        <v>1</v>
      </c>
      <c r="G95">
        <v>0</v>
      </c>
      <c r="H95" t="b">
        <v>0</v>
      </c>
      <c r="I95" s="110" t="s">
        <v>808</v>
      </c>
      <c r="J95" s="9"/>
      <c r="L95" s="134">
        <v>540000</v>
      </c>
      <c r="M95" t="b">
        <v>0</v>
      </c>
      <c r="N95">
        <f>OptionsTable[[#This Row],[Cost]]</f>
        <v>540000</v>
      </c>
      <c r="O95">
        <v>1</v>
      </c>
    </row>
    <row r="96" spans="2:15" x14ac:dyDescent="0.35">
      <c r="B96" t="s">
        <v>40</v>
      </c>
      <c r="C96" t="s">
        <v>608</v>
      </c>
      <c r="D96" t="s">
        <v>3</v>
      </c>
      <c r="E96">
        <v>16</v>
      </c>
      <c r="F96">
        <v>1</v>
      </c>
      <c r="G96">
        <v>0</v>
      </c>
      <c r="H96" t="b">
        <v>0</v>
      </c>
      <c r="I96" s="110" t="s">
        <v>809</v>
      </c>
      <c r="J96" s="9"/>
      <c r="L96" s="134">
        <v>1300000</v>
      </c>
      <c r="M96" t="b">
        <v>0</v>
      </c>
      <c r="N96">
        <f>OptionsTable[[#This Row],[Cost]]</f>
        <v>1300000</v>
      </c>
      <c r="O96">
        <v>1</v>
      </c>
    </row>
    <row r="97" spans="2:15" x14ac:dyDescent="0.35">
      <c r="B97" t="s">
        <v>40</v>
      </c>
      <c r="C97" t="s">
        <v>810</v>
      </c>
      <c r="D97" t="s">
        <v>96</v>
      </c>
      <c r="E97">
        <v>18</v>
      </c>
      <c r="F97">
        <v>1</v>
      </c>
      <c r="G97">
        <v>0</v>
      </c>
      <c r="H97" t="b">
        <v>0</v>
      </c>
      <c r="I97" s="110" t="s">
        <v>811</v>
      </c>
      <c r="J97" s="9"/>
      <c r="L97" s="134">
        <v>5400000</v>
      </c>
      <c r="M97" t="b">
        <v>0</v>
      </c>
      <c r="N97">
        <f>OptionsTable[[#This Row],[Cost]]</f>
        <v>5400000</v>
      </c>
      <c r="O97">
        <v>1</v>
      </c>
    </row>
    <row r="98" spans="2:15" x14ac:dyDescent="0.35">
      <c r="B98" t="s">
        <v>40</v>
      </c>
      <c r="C98" t="s">
        <v>812</v>
      </c>
      <c r="D98" t="s">
        <v>0</v>
      </c>
      <c r="E98">
        <v>12</v>
      </c>
      <c r="F98">
        <v>1</v>
      </c>
      <c r="G98">
        <v>0</v>
      </c>
      <c r="H98" t="b">
        <v>0</v>
      </c>
      <c r="I98" s="110" t="s">
        <v>813</v>
      </c>
      <c r="J98" s="9"/>
      <c r="L98" s="134">
        <v>9000</v>
      </c>
      <c r="M98" t="b">
        <v>0</v>
      </c>
      <c r="N98">
        <f>OptionsTable[[#This Row],[Cost]]</f>
        <v>9000</v>
      </c>
      <c r="O98">
        <v>1</v>
      </c>
    </row>
    <row r="99" spans="2:15" x14ac:dyDescent="0.35">
      <c r="B99" t="s">
        <v>40</v>
      </c>
      <c r="C99" t="s">
        <v>814</v>
      </c>
      <c r="D99" t="s">
        <v>1</v>
      </c>
      <c r="E99">
        <v>12</v>
      </c>
      <c r="F99">
        <v>1</v>
      </c>
      <c r="G99">
        <v>0</v>
      </c>
      <c r="H99" t="b">
        <v>0</v>
      </c>
      <c r="I99" s="110" t="s">
        <v>815</v>
      </c>
      <c r="J99" s="9"/>
      <c r="L99" s="134">
        <v>27000</v>
      </c>
      <c r="M99" t="b">
        <v>0</v>
      </c>
      <c r="N99">
        <f>OptionsTable[[#This Row],[Cost]]</f>
        <v>27000</v>
      </c>
      <c r="O99">
        <v>1</v>
      </c>
    </row>
    <row r="100" spans="2:15" x14ac:dyDescent="0.35">
      <c r="B100" t="s">
        <v>40</v>
      </c>
      <c r="C100" t="s">
        <v>816</v>
      </c>
      <c r="D100" t="s">
        <v>2</v>
      </c>
      <c r="E100">
        <v>14</v>
      </c>
      <c r="F100">
        <v>1</v>
      </c>
      <c r="G100">
        <v>0</v>
      </c>
      <c r="H100" t="b">
        <v>0</v>
      </c>
      <c r="I100" s="110" t="s">
        <v>817</v>
      </c>
      <c r="J100" s="9"/>
      <c r="L100" s="134">
        <v>270000</v>
      </c>
      <c r="M100" t="b">
        <v>0</v>
      </c>
      <c r="N100">
        <f>OptionsTable[[#This Row],[Cost]]</f>
        <v>270000</v>
      </c>
      <c r="O100">
        <v>1</v>
      </c>
    </row>
    <row r="101" spans="2:15" x14ac:dyDescent="0.35">
      <c r="B101" t="s">
        <v>40</v>
      </c>
      <c r="C101" t="s">
        <v>818</v>
      </c>
      <c r="D101" t="s">
        <v>3</v>
      </c>
      <c r="E101">
        <v>16</v>
      </c>
      <c r="F101">
        <v>1</v>
      </c>
      <c r="G101">
        <v>0</v>
      </c>
      <c r="H101" t="b">
        <v>0</v>
      </c>
      <c r="I101" s="110" t="s">
        <v>819</v>
      </c>
      <c r="J101" s="9"/>
      <c r="L101" s="134">
        <v>900000</v>
      </c>
      <c r="M101" t="b">
        <v>0</v>
      </c>
      <c r="N101">
        <f>OptionsTable[[#This Row],[Cost]]</f>
        <v>900000</v>
      </c>
      <c r="O101">
        <v>1</v>
      </c>
    </row>
    <row r="102" spans="2:15" x14ac:dyDescent="0.35">
      <c r="B102" t="s">
        <v>40</v>
      </c>
      <c r="C102" t="s">
        <v>820</v>
      </c>
      <c r="D102" t="s">
        <v>96</v>
      </c>
      <c r="E102">
        <v>18</v>
      </c>
      <c r="F102">
        <v>1</v>
      </c>
      <c r="G102">
        <v>0</v>
      </c>
      <c r="H102" t="b">
        <v>0</v>
      </c>
      <c r="I102" s="110" t="s">
        <v>821</v>
      </c>
      <c r="J102" s="9"/>
      <c r="L102" s="134">
        <v>900000</v>
      </c>
      <c r="M102" t="b">
        <v>0</v>
      </c>
      <c r="N102">
        <f>OptionsTable[[#This Row],[Cost]]</f>
        <v>900000</v>
      </c>
      <c r="O102">
        <v>1</v>
      </c>
    </row>
    <row r="103" spans="2:15" x14ac:dyDescent="0.35">
      <c r="B103" t="s">
        <v>497</v>
      </c>
      <c r="C103" t="s">
        <v>563</v>
      </c>
      <c r="D103" t="s">
        <v>0</v>
      </c>
      <c r="E103">
        <v>11</v>
      </c>
      <c r="F103">
        <v>0</v>
      </c>
      <c r="G103">
        <v>0.75</v>
      </c>
      <c r="H103" t="b">
        <v>0</v>
      </c>
      <c r="I103" s="110"/>
      <c r="J103" s="9"/>
      <c r="L103">
        <v>2000</v>
      </c>
      <c r="M103" t="b">
        <v>1</v>
      </c>
      <c r="N103">
        <f>OptionsTable[[#This Row],[Cost]]</f>
        <v>2000</v>
      </c>
      <c r="O103">
        <v>1</v>
      </c>
    </row>
    <row r="104" spans="2:15" x14ac:dyDescent="0.35">
      <c r="B104" t="s">
        <v>497</v>
      </c>
      <c r="C104" t="s">
        <v>564</v>
      </c>
      <c r="D104" t="s">
        <v>1</v>
      </c>
      <c r="E104">
        <v>13</v>
      </c>
      <c r="F104">
        <v>0</v>
      </c>
      <c r="G104">
        <v>0.75</v>
      </c>
      <c r="H104" t="b">
        <v>0</v>
      </c>
      <c r="I104" s="110"/>
      <c r="J104" s="9"/>
      <c r="L104">
        <v>5000</v>
      </c>
      <c r="M104" t="b">
        <v>1</v>
      </c>
      <c r="N104">
        <f>OptionsTable[[#This Row],[Cost]]</f>
        <v>5000</v>
      </c>
      <c r="O104">
        <v>1</v>
      </c>
    </row>
    <row r="105" spans="2:15" x14ac:dyDescent="0.35">
      <c r="B105" t="s">
        <v>497</v>
      </c>
      <c r="C105" t="s">
        <v>565</v>
      </c>
      <c r="D105" t="s">
        <v>2</v>
      </c>
      <c r="E105">
        <v>15</v>
      </c>
      <c r="F105">
        <v>0</v>
      </c>
      <c r="G105">
        <v>0.75</v>
      </c>
      <c r="H105" t="b">
        <v>0</v>
      </c>
      <c r="I105" s="110"/>
      <c r="J105" s="9"/>
      <c r="L105">
        <v>10000</v>
      </c>
      <c r="M105" t="b">
        <v>1</v>
      </c>
      <c r="N105">
        <f>OptionsTable[[#This Row],[Cost]]</f>
        <v>10000</v>
      </c>
      <c r="O105">
        <v>1</v>
      </c>
    </row>
    <row r="106" spans="2:15" x14ac:dyDescent="0.35">
      <c r="B106" t="s">
        <v>497</v>
      </c>
      <c r="C106" t="s">
        <v>566</v>
      </c>
      <c r="D106" t="s">
        <v>3</v>
      </c>
      <c r="E106">
        <v>17</v>
      </c>
      <c r="F106">
        <v>0</v>
      </c>
      <c r="G106">
        <v>0.75</v>
      </c>
      <c r="H106" t="b">
        <v>0</v>
      </c>
      <c r="I106" s="110"/>
      <c r="J106" s="9"/>
      <c r="L106">
        <v>20000</v>
      </c>
      <c r="M106" t="b">
        <v>1</v>
      </c>
      <c r="N106">
        <f>OptionsTable[[#This Row],[Cost]]</f>
        <v>20000</v>
      </c>
      <c r="O106">
        <v>1</v>
      </c>
    </row>
    <row r="107" spans="2:15" x14ac:dyDescent="0.35">
      <c r="B107" t="s">
        <v>270</v>
      </c>
      <c r="C107" t="s">
        <v>591</v>
      </c>
      <c r="D107" t="s">
        <v>0</v>
      </c>
      <c r="E107">
        <v>6</v>
      </c>
      <c r="F107">
        <v>1</v>
      </c>
      <c r="G107">
        <v>0</v>
      </c>
      <c r="H107" t="b">
        <v>0</v>
      </c>
      <c r="I107" s="110" t="s">
        <v>595</v>
      </c>
      <c r="J107" s="9"/>
      <c r="L107">
        <v>1000</v>
      </c>
      <c r="M107" t="b">
        <v>0</v>
      </c>
      <c r="N107">
        <f>OptionsTable[[#This Row],[Cost]]</f>
        <v>1000</v>
      </c>
      <c r="O107">
        <v>1</v>
      </c>
    </row>
    <row r="108" spans="2:15" x14ac:dyDescent="0.35">
      <c r="B108" t="s">
        <v>270</v>
      </c>
      <c r="C108" t="s">
        <v>592</v>
      </c>
      <c r="D108" t="s">
        <v>1</v>
      </c>
      <c r="E108">
        <v>8</v>
      </c>
      <c r="F108">
        <v>1</v>
      </c>
      <c r="G108">
        <v>0</v>
      </c>
      <c r="H108" t="b">
        <v>0</v>
      </c>
      <c r="I108" s="110" t="s">
        <v>596</v>
      </c>
      <c r="J108" s="9"/>
      <c r="L108">
        <v>2000</v>
      </c>
      <c r="M108" t="b">
        <v>0</v>
      </c>
      <c r="N108">
        <f>OptionsTable[[#This Row],[Cost]]</f>
        <v>2000</v>
      </c>
      <c r="O108">
        <v>1</v>
      </c>
    </row>
    <row r="109" spans="2:15" x14ac:dyDescent="0.35">
      <c r="B109" t="s">
        <v>270</v>
      </c>
      <c r="C109" t="s">
        <v>593</v>
      </c>
      <c r="D109" t="s">
        <v>2</v>
      </c>
      <c r="E109">
        <v>10</v>
      </c>
      <c r="F109">
        <v>1</v>
      </c>
      <c r="G109">
        <v>0</v>
      </c>
      <c r="H109" t="b">
        <v>0</v>
      </c>
      <c r="I109" s="110" t="s">
        <v>597</v>
      </c>
      <c r="J109" s="9"/>
      <c r="L109">
        <v>5000</v>
      </c>
      <c r="M109" t="b">
        <v>0</v>
      </c>
      <c r="N109">
        <f>OptionsTable[[#This Row],[Cost]]</f>
        <v>5000</v>
      </c>
      <c r="O109">
        <v>1</v>
      </c>
    </row>
    <row r="110" spans="2:15" x14ac:dyDescent="0.35">
      <c r="B110" t="s">
        <v>270</v>
      </c>
      <c r="C110" t="s">
        <v>594</v>
      </c>
      <c r="D110" t="s">
        <v>3</v>
      </c>
      <c r="E110">
        <v>13</v>
      </c>
      <c r="F110">
        <v>1</v>
      </c>
      <c r="G110">
        <v>0</v>
      </c>
      <c r="H110" t="b">
        <v>0</v>
      </c>
      <c r="I110" s="110" t="s">
        <v>598</v>
      </c>
      <c r="J110" s="9"/>
      <c r="L110">
        <v>20000</v>
      </c>
      <c r="M110" t="b">
        <v>0</v>
      </c>
      <c r="N110">
        <f>OptionsTable[[#This Row],[Cost]]</f>
        <v>20000</v>
      </c>
      <c r="O110">
        <v>1</v>
      </c>
    </row>
    <row r="111" spans="2:15" x14ac:dyDescent="0.35">
      <c r="B111" t="s">
        <v>9</v>
      </c>
      <c r="C111" t="s">
        <v>280</v>
      </c>
      <c r="E111">
        <v>15</v>
      </c>
      <c r="F111">
        <v>2</v>
      </c>
      <c r="G111">
        <v>0</v>
      </c>
      <c r="H111" t="b">
        <v>0</v>
      </c>
      <c r="I111" s="110"/>
      <c r="J111" s="9"/>
      <c r="L111">
        <v>350000</v>
      </c>
      <c r="M111" t="b">
        <v>0</v>
      </c>
      <c r="N111">
        <f>OptionsTable[[#This Row],[Cost]]</f>
        <v>350000</v>
      </c>
      <c r="O111">
        <v>1</v>
      </c>
    </row>
    <row r="112" spans="2:15" x14ac:dyDescent="0.35">
      <c r="B112" t="s">
        <v>270</v>
      </c>
      <c r="C112" t="s">
        <v>434</v>
      </c>
      <c r="E112">
        <v>5</v>
      </c>
      <c r="F112">
        <v>2</v>
      </c>
      <c r="G112">
        <v>0</v>
      </c>
      <c r="H112" t="b">
        <v>0</v>
      </c>
      <c r="I112" s="110" t="s">
        <v>444</v>
      </c>
      <c r="J112" s="9"/>
      <c r="L112">
        <v>500</v>
      </c>
      <c r="M112" t="b">
        <v>0</v>
      </c>
      <c r="N112">
        <f>OptionsTable[[#This Row],[Cost]]</f>
        <v>500</v>
      </c>
      <c r="O112">
        <v>1</v>
      </c>
    </row>
    <row r="113" spans="2:15" x14ac:dyDescent="0.35">
      <c r="B113" t="s">
        <v>270</v>
      </c>
      <c r="C113" t="s">
        <v>435</v>
      </c>
      <c r="E113">
        <v>5</v>
      </c>
      <c r="F113">
        <v>8</v>
      </c>
      <c r="G113">
        <v>0</v>
      </c>
      <c r="H113" t="b">
        <v>0</v>
      </c>
      <c r="I113" s="110" t="s">
        <v>440</v>
      </c>
      <c r="J113" s="9"/>
      <c r="L113">
        <v>5000</v>
      </c>
      <c r="M113" t="b">
        <v>0</v>
      </c>
      <c r="N113">
        <f>OptionsTable[[#This Row],[Cost]]</f>
        <v>5000</v>
      </c>
      <c r="O113">
        <v>1</v>
      </c>
    </row>
    <row r="114" spans="2:15" x14ac:dyDescent="0.35">
      <c r="B114" t="s">
        <v>270</v>
      </c>
      <c r="C114" t="s">
        <v>436</v>
      </c>
      <c r="E114">
        <v>5</v>
      </c>
      <c r="F114">
        <v>32</v>
      </c>
      <c r="G114">
        <v>0</v>
      </c>
      <c r="H114" t="b">
        <v>0</v>
      </c>
      <c r="I114" s="110" t="s">
        <v>443</v>
      </c>
      <c r="J114" s="9"/>
      <c r="L114">
        <v>50000</v>
      </c>
      <c r="M114" t="b">
        <v>0</v>
      </c>
      <c r="N114">
        <f>OptionsTable[[#This Row],[Cost]]</f>
        <v>50000</v>
      </c>
      <c r="O114">
        <v>1</v>
      </c>
    </row>
    <row r="115" spans="2:15" x14ac:dyDescent="0.35">
      <c r="B115" t="s">
        <v>224</v>
      </c>
      <c r="C115" t="s">
        <v>101</v>
      </c>
      <c r="D115" t="s">
        <v>0</v>
      </c>
      <c r="E115">
        <v>9</v>
      </c>
      <c r="F115">
        <v>1</v>
      </c>
      <c r="G115">
        <v>0</v>
      </c>
      <c r="H115" t="b">
        <v>1</v>
      </c>
      <c r="I115" s="128" t="s">
        <v>403</v>
      </c>
      <c r="L115">
        <v>600</v>
      </c>
      <c r="M115" t="b">
        <v>1</v>
      </c>
      <c r="N115">
        <f>OptionsTable[[#This Row],[Cost]]</f>
        <v>600</v>
      </c>
      <c r="O115">
        <v>1</v>
      </c>
    </row>
    <row r="116" spans="2:15" x14ac:dyDescent="0.35">
      <c r="B116" t="s">
        <v>254</v>
      </c>
      <c r="C116" t="s">
        <v>546</v>
      </c>
      <c r="D116" t="s">
        <v>0</v>
      </c>
      <c r="E116">
        <v>5</v>
      </c>
      <c r="F116">
        <v>2</v>
      </c>
      <c r="H116" t="b">
        <v>0</v>
      </c>
      <c r="I116" s="128"/>
      <c r="J116" s="9"/>
      <c r="L116">
        <v>500</v>
      </c>
      <c r="M116" t="b">
        <v>0</v>
      </c>
      <c r="N116">
        <f>OptionsTable[[#This Row],[Cost]]</f>
        <v>500</v>
      </c>
      <c r="O116">
        <v>1</v>
      </c>
    </row>
    <row r="117" spans="2:15" x14ac:dyDescent="0.35">
      <c r="B117" t="s">
        <v>254</v>
      </c>
      <c r="C117" t="s">
        <v>599</v>
      </c>
      <c r="D117" t="s">
        <v>1</v>
      </c>
      <c r="E117">
        <v>9</v>
      </c>
      <c r="F117">
        <v>2</v>
      </c>
      <c r="H117" t="b">
        <v>0</v>
      </c>
      <c r="I117" s="128"/>
      <c r="J117" s="9"/>
      <c r="L117">
        <v>5000</v>
      </c>
      <c r="M117" t="b">
        <v>0</v>
      </c>
      <c r="N117">
        <f>OptionsTable[[#This Row],[Cost]]</f>
        <v>5000</v>
      </c>
      <c r="O117">
        <v>1</v>
      </c>
    </row>
    <row r="118" spans="2:15" x14ac:dyDescent="0.35">
      <c r="B118" t="s">
        <v>254</v>
      </c>
      <c r="C118" t="s">
        <v>547</v>
      </c>
      <c r="D118" t="s">
        <v>3</v>
      </c>
      <c r="E118">
        <v>14</v>
      </c>
      <c r="F118">
        <v>1</v>
      </c>
      <c r="H118" t="b">
        <v>0</v>
      </c>
      <c r="I118" s="128"/>
      <c r="J118" s="9"/>
      <c r="L118">
        <v>5000</v>
      </c>
      <c r="M118" t="b">
        <v>0</v>
      </c>
      <c r="N118">
        <f>OptionsTable[[#This Row],[Cost]]</f>
        <v>5000</v>
      </c>
      <c r="O118">
        <v>1</v>
      </c>
    </row>
    <row r="119" spans="2:15" x14ac:dyDescent="0.35">
      <c r="B119" t="s">
        <v>9</v>
      </c>
      <c r="C119" t="s">
        <v>281</v>
      </c>
      <c r="E119">
        <v>14</v>
      </c>
      <c r="F119">
        <v>3</v>
      </c>
      <c r="G119">
        <v>0</v>
      </c>
      <c r="H119" t="b">
        <v>0</v>
      </c>
      <c r="I119" s="110" t="s">
        <v>396</v>
      </c>
      <c r="J119" s="9"/>
      <c r="L119">
        <v>20000</v>
      </c>
      <c r="M119" t="b">
        <v>0</v>
      </c>
      <c r="N119">
        <f>OptionsTable[[#This Row],[Cost]]</f>
        <v>20000</v>
      </c>
      <c r="O119">
        <v>1</v>
      </c>
    </row>
    <row r="120" spans="2:15" x14ac:dyDescent="0.35">
      <c r="B120" t="s">
        <v>422</v>
      </c>
      <c r="C120" t="s">
        <v>424</v>
      </c>
      <c r="E120">
        <v>5</v>
      </c>
      <c r="F120">
        <v>1</v>
      </c>
      <c r="G120">
        <v>0</v>
      </c>
      <c r="H120" t="b">
        <v>0</v>
      </c>
      <c r="I120" s="110" t="s">
        <v>439</v>
      </c>
      <c r="J120" s="9"/>
      <c r="L120">
        <v>100</v>
      </c>
      <c r="M120" t="b">
        <v>0</v>
      </c>
      <c r="N120">
        <f>OptionsTable[[#This Row],[Cost]]</f>
        <v>100</v>
      </c>
      <c r="O120">
        <v>1</v>
      </c>
    </row>
    <row r="121" spans="2:15" x14ac:dyDescent="0.35">
      <c r="B121" t="s">
        <v>422</v>
      </c>
      <c r="C121" t="s">
        <v>423</v>
      </c>
      <c r="E121">
        <v>5</v>
      </c>
      <c r="F121">
        <v>4</v>
      </c>
      <c r="G121">
        <v>0</v>
      </c>
      <c r="H121" t="b">
        <v>0</v>
      </c>
      <c r="I121" s="110" t="s">
        <v>441</v>
      </c>
      <c r="J121" s="9"/>
      <c r="L121">
        <v>1000</v>
      </c>
      <c r="M121" t="b">
        <v>0</v>
      </c>
      <c r="N121">
        <f>OptionsTable[[#This Row],[Cost]]</f>
        <v>1000</v>
      </c>
      <c r="O121">
        <v>1</v>
      </c>
    </row>
    <row r="122" spans="2:15" x14ac:dyDescent="0.35">
      <c r="B122" t="s">
        <v>422</v>
      </c>
      <c r="C122" t="s">
        <v>438</v>
      </c>
      <c r="E122">
        <v>5</v>
      </c>
      <c r="F122">
        <v>8</v>
      </c>
      <c r="G122">
        <v>0</v>
      </c>
      <c r="H122" t="b">
        <v>0</v>
      </c>
      <c r="I122" s="110" t="s">
        <v>442</v>
      </c>
      <c r="J122" s="9"/>
      <c r="L122">
        <v>5000</v>
      </c>
      <c r="M122" t="b">
        <v>0</v>
      </c>
      <c r="N122">
        <f>OptionsTable[[#This Row],[Cost]]</f>
        <v>5000</v>
      </c>
      <c r="O122">
        <v>1</v>
      </c>
    </row>
    <row r="123" spans="2:15" x14ac:dyDescent="0.35">
      <c r="B123" t="s">
        <v>285</v>
      </c>
      <c r="C123" t="s">
        <v>287</v>
      </c>
      <c r="D123" t="s">
        <v>14</v>
      </c>
      <c r="E123">
        <v>5</v>
      </c>
      <c r="F123">
        <v>2</v>
      </c>
      <c r="G123">
        <v>0</v>
      </c>
      <c r="H123" t="b">
        <v>0</v>
      </c>
      <c r="I123" s="110" t="s">
        <v>642</v>
      </c>
      <c r="J123" s="9"/>
      <c r="L123">
        <v>1000</v>
      </c>
      <c r="M123" t="b">
        <v>0</v>
      </c>
      <c r="N123">
        <f>OptionsTable[[#This Row],[Cost]]</f>
        <v>1000</v>
      </c>
      <c r="O123">
        <v>1</v>
      </c>
    </row>
    <row r="124" spans="2:15" x14ac:dyDescent="0.35">
      <c r="B124" t="s">
        <v>285</v>
      </c>
      <c r="C124" t="s">
        <v>286</v>
      </c>
      <c r="D124" t="s">
        <v>0</v>
      </c>
      <c r="E124">
        <v>7</v>
      </c>
      <c r="F124">
        <v>1</v>
      </c>
      <c r="G124">
        <v>0</v>
      </c>
      <c r="H124" t="b">
        <v>0</v>
      </c>
      <c r="I124" s="110" t="s">
        <v>643</v>
      </c>
      <c r="J124" s="9"/>
      <c r="L124">
        <v>2000</v>
      </c>
      <c r="M124" t="b">
        <v>0</v>
      </c>
      <c r="N124">
        <f>OptionsTable[[#This Row],[Cost]]</f>
        <v>2000</v>
      </c>
      <c r="O124">
        <v>1</v>
      </c>
    </row>
    <row r="125" spans="2:15" x14ac:dyDescent="0.35">
      <c r="B125" t="s">
        <v>254</v>
      </c>
      <c r="C125" t="s">
        <v>259</v>
      </c>
      <c r="D125" t="s">
        <v>0</v>
      </c>
      <c r="E125">
        <v>6</v>
      </c>
      <c r="F125">
        <v>1</v>
      </c>
      <c r="G125">
        <v>0</v>
      </c>
      <c r="H125" t="b">
        <v>0</v>
      </c>
      <c r="I125" s="110" t="s">
        <v>389</v>
      </c>
      <c r="J125" s="9"/>
      <c r="L125">
        <v>2000</v>
      </c>
      <c r="M125" t="b">
        <v>0</v>
      </c>
      <c r="N125">
        <f>OptionsTable[[#This Row],[Cost]]</f>
        <v>2000</v>
      </c>
      <c r="O125">
        <v>1</v>
      </c>
    </row>
    <row r="126" spans="2:15" x14ac:dyDescent="0.35">
      <c r="B126" t="s">
        <v>254</v>
      </c>
      <c r="C126" t="s">
        <v>260</v>
      </c>
      <c r="D126" t="s">
        <v>1</v>
      </c>
      <c r="E126">
        <v>8</v>
      </c>
      <c r="F126">
        <v>1</v>
      </c>
      <c r="G126">
        <v>0</v>
      </c>
      <c r="H126" t="b">
        <v>0</v>
      </c>
      <c r="I126" s="110" t="s">
        <v>390</v>
      </c>
      <c r="J126" s="9"/>
      <c r="L126">
        <v>4000</v>
      </c>
      <c r="M126" t="b">
        <v>0</v>
      </c>
      <c r="N126">
        <f>OptionsTable[[#This Row],[Cost]]</f>
        <v>4000</v>
      </c>
      <c r="O126">
        <v>1</v>
      </c>
    </row>
    <row r="127" spans="2:15" x14ac:dyDescent="0.35">
      <c r="B127" t="s">
        <v>254</v>
      </c>
      <c r="C127" t="s">
        <v>261</v>
      </c>
      <c r="D127" t="s">
        <v>2</v>
      </c>
      <c r="E127">
        <v>10</v>
      </c>
      <c r="F127">
        <v>1</v>
      </c>
      <c r="G127">
        <v>0</v>
      </c>
      <c r="H127" t="b">
        <v>0</v>
      </c>
      <c r="I127" s="110" t="s">
        <v>391</v>
      </c>
      <c r="J127" s="9"/>
      <c r="L127">
        <v>6000</v>
      </c>
      <c r="M127" t="b">
        <v>0</v>
      </c>
      <c r="N127">
        <f>OptionsTable[[#This Row],[Cost]]</f>
        <v>6000</v>
      </c>
      <c r="O127">
        <v>1</v>
      </c>
    </row>
    <row r="128" spans="2:15" x14ac:dyDescent="0.35">
      <c r="B128" t="s">
        <v>254</v>
      </c>
      <c r="C128" t="s">
        <v>262</v>
      </c>
      <c r="D128" t="s">
        <v>3</v>
      </c>
      <c r="E128">
        <v>12</v>
      </c>
      <c r="F128">
        <v>1</v>
      </c>
      <c r="G128">
        <v>0</v>
      </c>
      <c r="H128" t="b">
        <v>0</v>
      </c>
      <c r="I128" s="110" t="s">
        <v>392</v>
      </c>
      <c r="J128" s="9"/>
      <c r="L128">
        <v>8000</v>
      </c>
      <c r="M128" t="b">
        <v>0</v>
      </c>
      <c r="N128">
        <f>OptionsTable[[#This Row],[Cost]]</f>
        <v>8000</v>
      </c>
      <c r="O128">
        <v>1</v>
      </c>
    </row>
    <row r="129" spans="2:15" x14ac:dyDescent="0.35">
      <c r="B129" t="s">
        <v>248</v>
      </c>
      <c r="C129" t="s">
        <v>231</v>
      </c>
      <c r="E129">
        <v>9</v>
      </c>
      <c r="F129">
        <v>0</v>
      </c>
      <c r="G129">
        <v>0.05</v>
      </c>
      <c r="H129" t="b">
        <v>0</v>
      </c>
      <c r="I129" s="110"/>
      <c r="J129" s="9"/>
      <c r="L129">
        <v>100</v>
      </c>
      <c r="M129" t="b">
        <v>1</v>
      </c>
      <c r="N129">
        <f>OptionsTable[[#This Row],[Cost]]</f>
        <v>100</v>
      </c>
      <c r="O129">
        <v>1</v>
      </c>
    </row>
    <row r="130" spans="2:15" x14ac:dyDescent="0.35">
      <c r="B130" t="s">
        <v>270</v>
      </c>
      <c r="C130" t="s">
        <v>493</v>
      </c>
      <c r="D130" t="s">
        <v>0</v>
      </c>
      <c r="E130">
        <v>8</v>
      </c>
      <c r="F130">
        <v>1</v>
      </c>
      <c r="G130">
        <v>0</v>
      </c>
      <c r="H130" t="b">
        <v>0</v>
      </c>
      <c r="I130" s="110"/>
      <c r="J130" s="9"/>
      <c r="L130">
        <v>2000</v>
      </c>
      <c r="M130" t="b">
        <v>0</v>
      </c>
      <c r="N130">
        <f>OptionsTable[[#This Row],[Cost]]</f>
        <v>2000</v>
      </c>
      <c r="O130">
        <v>1</v>
      </c>
    </row>
    <row r="131" spans="2:15" x14ac:dyDescent="0.35">
      <c r="B131" t="s">
        <v>270</v>
      </c>
      <c r="C131" t="s">
        <v>494</v>
      </c>
      <c r="D131" t="s">
        <v>1</v>
      </c>
      <c r="E131">
        <v>10</v>
      </c>
      <c r="F131">
        <v>1</v>
      </c>
      <c r="G131">
        <v>0</v>
      </c>
      <c r="H131" t="b">
        <v>0</v>
      </c>
      <c r="I131" s="110"/>
      <c r="J131" s="9"/>
      <c r="L131">
        <v>10000</v>
      </c>
      <c r="M131" t="b">
        <v>0</v>
      </c>
      <c r="N131">
        <f>OptionsTable[[#This Row],[Cost]]</f>
        <v>10000</v>
      </c>
      <c r="O131">
        <v>1</v>
      </c>
    </row>
    <row r="132" spans="2:15" x14ac:dyDescent="0.35">
      <c r="B132" t="s">
        <v>270</v>
      </c>
      <c r="C132" t="s">
        <v>495</v>
      </c>
      <c r="D132" t="s">
        <v>2</v>
      </c>
      <c r="E132">
        <v>13</v>
      </c>
      <c r="F132">
        <v>1</v>
      </c>
      <c r="G132">
        <v>0</v>
      </c>
      <c r="H132" t="b">
        <v>0</v>
      </c>
      <c r="I132" s="110"/>
      <c r="J132" s="9"/>
      <c r="L132">
        <v>50000</v>
      </c>
      <c r="M132" t="b">
        <v>0</v>
      </c>
      <c r="N132">
        <f>OptionsTable[[#This Row],[Cost]]</f>
        <v>50000</v>
      </c>
      <c r="O132">
        <v>1</v>
      </c>
    </row>
    <row r="133" spans="2:15" x14ac:dyDescent="0.35">
      <c r="B133" t="s">
        <v>270</v>
      </c>
      <c r="C133" t="s">
        <v>496</v>
      </c>
      <c r="D133" t="s">
        <v>3</v>
      </c>
      <c r="E133">
        <v>17</v>
      </c>
      <c r="F133">
        <v>1</v>
      </c>
      <c r="G133">
        <v>0</v>
      </c>
      <c r="H133" t="b">
        <v>0</v>
      </c>
      <c r="I133" s="110"/>
      <c r="J133" s="9"/>
      <c r="L133">
        <v>200000</v>
      </c>
      <c r="M133" t="b">
        <v>0</v>
      </c>
      <c r="N133">
        <f>OptionsTable[[#This Row],[Cost]]</f>
        <v>200000</v>
      </c>
      <c r="O133">
        <v>1</v>
      </c>
    </row>
    <row r="134" spans="2:15" x14ac:dyDescent="0.35">
      <c r="B134" t="s">
        <v>229</v>
      </c>
      <c r="C134" t="s">
        <v>271</v>
      </c>
      <c r="D134" t="s">
        <v>0</v>
      </c>
      <c r="E134">
        <v>6</v>
      </c>
      <c r="F134">
        <v>1</v>
      </c>
      <c r="G134">
        <v>0</v>
      </c>
      <c r="H134" t="b">
        <v>0</v>
      </c>
      <c r="I134" s="110"/>
      <c r="K134" t="s">
        <v>336</v>
      </c>
      <c r="L134">
        <v>10000</v>
      </c>
      <c r="M134" t="b">
        <v>0</v>
      </c>
      <c r="N134">
        <f>OptionsTable[[#This Row],[Cost]]</f>
        <v>10000</v>
      </c>
      <c r="O134">
        <v>1</v>
      </c>
    </row>
    <row r="135" spans="2:15" x14ac:dyDescent="0.35">
      <c r="B135" t="s">
        <v>229</v>
      </c>
      <c r="C135" t="s">
        <v>272</v>
      </c>
      <c r="D135" t="s">
        <v>1</v>
      </c>
      <c r="E135">
        <v>8</v>
      </c>
      <c r="F135">
        <v>1</v>
      </c>
      <c r="G135">
        <v>0</v>
      </c>
      <c r="H135" t="b">
        <v>1</v>
      </c>
      <c r="I135" s="110"/>
      <c r="K135" t="s">
        <v>337</v>
      </c>
      <c r="L135">
        <v>25000</v>
      </c>
      <c r="M135" t="b">
        <v>0</v>
      </c>
      <c r="N135">
        <f>OptionsTable[[#This Row],[Cost]]</f>
        <v>25000</v>
      </c>
      <c r="O135">
        <v>1</v>
      </c>
    </row>
    <row r="136" spans="2:15" x14ac:dyDescent="0.35">
      <c r="B136" t="s">
        <v>229</v>
      </c>
      <c r="C136" t="s">
        <v>273</v>
      </c>
      <c r="D136" t="s">
        <v>2</v>
      </c>
      <c r="E136">
        <v>10</v>
      </c>
      <c r="F136">
        <v>1</v>
      </c>
      <c r="G136">
        <v>0</v>
      </c>
      <c r="H136" t="b">
        <v>1</v>
      </c>
      <c r="I136" s="110"/>
      <c r="K136" t="s">
        <v>338</v>
      </c>
      <c r="L136">
        <v>50000</v>
      </c>
      <c r="M136" t="b">
        <v>0</v>
      </c>
      <c r="N136">
        <f>OptionsTable[[#This Row],[Cost]]</f>
        <v>50000</v>
      </c>
      <c r="O136">
        <v>1</v>
      </c>
    </row>
    <row r="137" spans="2:15" x14ac:dyDescent="0.35">
      <c r="B137" t="s">
        <v>229</v>
      </c>
      <c r="C137" t="s">
        <v>274</v>
      </c>
      <c r="D137" t="s">
        <v>3</v>
      </c>
      <c r="E137">
        <v>12</v>
      </c>
      <c r="F137">
        <v>1</v>
      </c>
      <c r="G137">
        <v>0</v>
      </c>
      <c r="H137" t="b">
        <v>1</v>
      </c>
      <c r="I137" s="110"/>
      <c r="K137" t="s">
        <v>339</v>
      </c>
      <c r="L137">
        <v>100000</v>
      </c>
      <c r="M137" t="b">
        <v>0</v>
      </c>
      <c r="N137">
        <f>OptionsTable[[#This Row],[Cost]]</f>
        <v>100000</v>
      </c>
      <c r="O137">
        <v>1</v>
      </c>
    </row>
    <row r="138" spans="2:15" x14ac:dyDescent="0.35">
      <c r="B138" t="s">
        <v>254</v>
      </c>
      <c r="C138" t="s">
        <v>548</v>
      </c>
      <c r="E138">
        <v>5</v>
      </c>
      <c r="F138">
        <v>1</v>
      </c>
      <c r="G138">
        <v>0</v>
      </c>
      <c r="H138" t="b">
        <v>0</v>
      </c>
      <c r="I138" s="110"/>
      <c r="J138" s="9"/>
      <c r="L138">
        <v>100</v>
      </c>
      <c r="M138" t="b">
        <v>0</v>
      </c>
      <c r="N138">
        <f>OptionsTable[[#This Row],[Cost]]</f>
        <v>100</v>
      </c>
      <c r="O138">
        <v>1</v>
      </c>
    </row>
    <row r="139" spans="2:15" x14ac:dyDescent="0.35">
      <c r="B139" t="s">
        <v>270</v>
      </c>
      <c r="C139" t="s">
        <v>549</v>
      </c>
      <c r="E139">
        <v>5</v>
      </c>
      <c r="F139">
        <v>8</v>
      </c>
      <c r="G139">
        <v>0</v>
      </c>
      <c r="H139" t="b">
        <v>0</v>
      </c>
      <c r="I139" s="110" t="s">
        <v>551</v>
      </c>
      <c r="J139" s="9"/>
      <c r="L139">
        <v>3000</v>
      </c>
      <c r="M139" t="b">
        <v>0</v>
      </c>
      <c r="N139">
        <f>OptionsTable[[#This Row],[Cost]]</f>
        <v>3000</v>
      </c>
      <c r="O139">
        <v>1</v>
      </c>
    </row>
    <row r="140" spans="2:15" x14ac:dyDescent="0.35">
      <c r="B140" t="s">
        <v>270</v>
      </c>
      <c r="C140" t="s">
        <v>550</v>
      </c>
      <c r="E140">
        <v>5</v>
      </c>
      <c r="F140">
        <v>12</v>
      </c>
      <c r="G140">
        <v>0</v>
      </c>
      <c r="H140" t="b">
        <v>0</v>
      </c>
      <c r="I140" s="110" t="s">
        <v>552</v>
      </c>
      <c r="J140" s="9"/>
      <c r="L140">
        <v>5000</v>
      </c>
      <c r="M140" t="b">
        <v>0</v>
      </c>
      <c r="N140">
        <f>OptionsTable[[#This Row],[Cost]]</f>
        <v>5000</v>
      </c>
      <c r="O140">
        <v>1</v>
      </c>
    </row>
    <row r="141" spans="2:15" x14ac:dyDescent="0.35">
      <c r="B141" t="s">
        <v>270</v>
      </c>
      <c r="C141" t="s">
        <v>554</v>
      </c>
      <c r="E141">
        <v>5</v>
      </c>
      <c r="F141">
        <v>60</v>
      </c>
      <c r="G141">
        <v>0</v>
      </c>
      <c r="H141" t="b">
        <v>0</v>
      </c>
      <c r="I141" s="110" t="s">
        <v>553</v>
      </c>
      <c r="J141" s="9"/>
      <c r="L141">
        <v>20000</v>
      </c>
      <c r="M141" t="b">
        <v>0</v>
      </c>
      <c r="N141">
        <f>OptionsTable[[#This Row],[Cost]]</f>
        <v>20000</v>
      </c>
      <c r="O141">
        <v>1</v>
      </c>
    </row>
    <row r="142" spans="2:15" x14ac:dyDescent="0.35">
      <c r="B142" t="s">
        <v>254</v>
      </c>
      <c r="C142" t="s">
        <v>263</v>
      </c>
      <c r="D142" t="s">
        <v>0</v>
      </c>
      <c r="E142">
        <v>8</v>
      </c>
      <c r="F142">
        <v>5</v>
      </c>
      <c r="G142">
        <v>0</v>
      </c>
      <c r="H142" t="b">
        <v>0</v>
      </c>
      <c r="I142" s="110" t="s">
        <v>389</v>
      </c>
      <c r="J142" s="9"/>
      <c r="L142">
        <v>2000</v>
      </c>
      <c r="M142" t="b">
        <v>0</v>
      </c>
      <c r="N142">
        <f>OptionsTable[[#This Row],[Cost]]</f>
        <v>2000</v>
      </c>
      <c r="O142">
        <v>1</v>
      </c>
    </row>
    <row r="143" spans="2:15" x14ac:dyDescent="0.35">
      <c r="B143" t="s">
        <v>254</v>
      </c>
      <c r="C143" t="s">
        <v>264</v>
      </c>
      <c r="D143" t="s">
        <v>1</v>
      </c>
      <c r="E143">
        <v>10</v>
      </c>
      <c r="F143">
        <v>4</v>
      </c>
      <c r="G143">
        <v>0</v>
      </c>
      <c r="H143" t="b">
        <v>0</v>
      </c>
      <c r="I143" s="110" t="s">
        <v>390</v>
      </c>
      <c r="J143" s="9"/>
      <c r="L143">
        <v>4000</v>
      </c>
      <c r="M143" t="b">
        <v>0</v>
      </c>
      <c r="N143">
        <f>OptionsTable[[#This Row],[Cost]]</f>
        <v>4000</v>
      </c>
      <c r="O143">
        <v>1</v>
      </c>
    </row>
    <row r="144" spans="2:15" x14ac:dyDescent="0.35">
      <c r="B144" t="s">
        <v>254</v>
      </c>
      <c r="C144" t="s">
        <v>265</v>
      </c>
      <c r="D144" t="s">
        <v>2</v>
      </c>
      <c r="E144">
        <v>12</v>
      </c>
      <c r="F144">
        <v>4</v>
      </c>
      <c r="G144">
        <v>0</v>
      </c>
      <c r="H144" t="b">
        <v>0</v>
      </c>
      <c r="I144" s="110" t="s">
        <v>391</v>
      </c>
      <c r="J144" s="9"/>
      <c r="L144">
        <v>8000</v>
      </c>
      <c r="M144" t="b">
        <v>0</v>
      </c>
      <c r="N144">
        <f>OptionsTable[[#This Row],[Cost]]</f>
        <v>8000</v>
      </c>
      <c r="O144">
        <v>1</v>
      </c>
    </row>
    <row r="145" spans="2:15" x14ac:dyDescent="0.35">
      <c r="B145" t="s">
        <v>254</v>
      </c>
      <c r="C145" t="s">
        <v>266</v>
      </c>
      <c r="D145" t="s">
        <v>3</v>
      </c>
      <c r="E145">
        <v>14</v>
      </c>
      <c r="F145">
        <v>3</v>
      </c>
      <c r="G145">
        <v>0</v>
      </c>
      <c r="H145" t="b">
        <v>0</v>
      </c>
      <c r="I145" s="110" t="s">
        <v>392</v>
      </c>
      <c r="J145" s="9"/>
      <c r="L145">
        <v>10000</v>
      </c>
      <c r="M145" t="b">
        <v>0</v>
      </c>
      <c r="N145">
        <f>OptionsTable[[#This Row],[Cost]]</f>
        <v>10000</v>
      </c>
      <c r="O145">
        <v>1</v>
      </c>
    </row>
    <row r="146" spans="2:15" x14ac:dyDescent="0.35">
      <c r="B146" t="s">
        <v>40</v>
      </c>
      <c r="C146" t="s">
        <v>730</v>
      </c>
      <c r="D146" t="s">
        <v>0</v>
      </c>
      <c r="E146">
        <v>6</v>
      </c>
      <c r="F146">
        <v>4</v>
      </c>
      <c r="G146">
        <v>0</v>
      </c>
      <c r="H146" t="b">
        <v>0</v>
      </c>
      <c r="I146" s="110"/>
      <c r="J146" s="9"/>
      <c r="L146">
        <v>1500</v>
      </c>
      <c r="M146" t="b">
        <v>0</v>
      </c>
      <c r="N146">
        <f>OptionsTable[[#This Row],[Cost]]</f>
        <v>1500</v>
      </c>
      <c r="O146">
        <v>1</v>
      </c>
    </row>
    <row r="147" spans="2:15" x14ac:dyDescent="0.35">
      <c r="B147" t="s">
        <v>40</v>
      </c>
      <c r="C147" t="s">
        <v>731</v>
      </c>
      <c r="D147" t="s">
        <v>1</v>
      </c>
      <c r="E147">
        <v>8</v>
      </c>
      <c r="F147">
        <v>3</v>
      </c>
      <c r="G147">
        <v>0</v>
      </c>
      <c r="H147" t="b">
        <v>0</v>
      </c>
      <c r="I147" s="128" t="s">
        <v>735</v>
      </c>
      <c r="J147" s="9"/>
      <c r="L147">
        <v>2500</v>
      </c>
      <c r="M147" t="b">
        <v>0</v>
      </c>
      <c r="N147">
        <f>OptionsTable[[#This Row],[Cost]]</f>
        <v>2500</v>
      </c>
      <c r="O147">
        <v>1</v>
      </c>
    </row>
    <row r="148" spans="2:15" x14ac:dyDescent="0.35">
      <c r="B148" t="s">
        <v>40</v>
      </c>
      <c r="C148" t="s">
        <v>733</v>
      </c>
      <c r="D148" t="s">
        <v>2</v>
      </c>
      <c r="E148">
        <v>11</v>
      </c>
      <c r="F148">
        <v>3</v>
      </c>
      <c r="G148">
        <v>0</v>
      </c>
      <c r="H148" t="b">
        <v>0</v>
      </c>
      <c r="I148" s="110" t="s">
        <v>734</v>
      </c>
      <c r="J148" s="9"/>
      <c r="L148">
        <v>4000</v>
      </c>
      <c r="M148" t="b">
        <v>0</v>
      </c>
      <c r="N148">
        <f>OptionsTable[[#This Row],[Cost]]</f>
        <v>4000</v>
      </c>
      <c r="O148">
        <v>1</v>
      </c>
    </row>
    <row r="149" spans="2:15" x14ac:dyDescent="0.35">
      <c r="B149" t="s">
        <v>40</v>
      </c>
      <c r="C149" t="s">
        <v>732</v>
      </c>
      <c r="D149" t="s">
        <v>3</v>
      </c>
      <c r="E149">
        <v>12</v>
      </c>
      <c r="F149">
        <v>2</v>
      </c>
      <c r="G149">
        <v>0</v>
      </c>
      <c r="H149" t="b">
        <v>0</v>
      </c>
      <c r="I149" s="110"/>
      <c r="J149" s="9"/>
      <c r="L149">
        <v>5000</v>
      </c>
      <c r="M149" t="b">
        <v>0</v>
      </c>
      <c r="N149">
        <f>OptionsTable[[#This Row],[Cost]]</f>
        <v>5000</v>
      </c>
      <c r="O149">
        <v>1</v>
      </c>
    </row>
    <row r="150" spans="2:15" x14ac:dyDescent="0.35">
      <c r="B150" t="s">
        <v>270</v>
      </c>
      <c r="C150" t="s">
        <v>637</v>
      </c>
      <c r="E150">
        <v>10</v>
      </c>
      <c r="F150">
        <v>1</v>
      </c>
      <c r="G150">
        <v>0</v>
      </c>
      <c r="H150" t="b">
        <v>1</v>
      </c>
      <c r="I150" s="110"/>
      <c r="J150" s="9"/>
      <c r="L150">
        <v>1000</v>
      </c>
      <c r="M150" t="b">
        <v>0</v>
      </c>
      <c r="N150">
        <f>OptionsTable[[#This Row],[Cost]]</f>
        <v>1000</v>
      </c>
      <c r="O150">
        <v>1</v>
      </c>
    </row>
    <row r="151" spans="2:15" x14ac:dyDescent="0.35">
      <c r="B151" t="s">
        <v>422</v>
      </c>
      <c r="C151" t="s">
        <v>426</v>
      </c>
      <c r="E151">
        <v>5</v>
      </c>
      <c r="F151">
        <v>2</v>
      </c>
      <c r="G151">
        <v>0</v>
      </c>
      <c r="H151" t="b">
        <v>0</v>
      </c>
      <c r="I151" s="110" t="s">
        <v>439</v>
      </c>
      <c r="J151" s="9"/>
      <c r="L151">
        <v>500</v>
      </c>
      <c r="M151" t="b">
        <v>0</v>
      </c>
      <c r="N151">
        <f>OptionsTable[[#This Row],[Cost]]</f>
        <v>500</v>
      </c>
      <c r="O151">
        <v>1</v>
      </c>
    </row>
    <row r="152" spans="2:15" x14ac:dyDescent="0.35">
      <c r="B152" t="s">
        <v>422</v>
      </c>
      <c r="C152" t="s">
        <v>425</v>
      </c>
      <c r="E152">
        <v>5</v>
      </c>
      <c r="F152">
        <v>8</v>
      </c>
      <c r="G152">
        <v>0</v>
      </c>
      <c r="H152" t="b">
        <v>0</v>
      </c>
      <c r="I152" s="110" t="s">
        <v>441</v>
      </c>
      <c r="J152" s="9"/>
      <c r="L152">
        <v>5000</v>
      </c>
      <c r="M152" t="b">
        <v>0</v>
      </c>
      <c r="N152">
        <f>OptionsTable[[#This Row],[Cost]]</f>
        <v>5000</v>
      </c>
      <c r="O152">
        <v>1</v>
      </c>
    </row>
    <row r="153" spans="2:15" x14ac:dyDescent="0.35">
      <c r="B153" t="s">
        <v>422</v>
      </c>
      <c r="C153" t="s">
        <v>427</v>
      </c>
      <c r="E153">
        <v>5</v>
      </c>
      <c r="F153">
        <v>16</v>
      </c>
      <c r="G153">
        <v>0</v>
      </c>
      <c r="H153" t="b">
        <v>0</v>
      </c>
      <c r="I153" s="110" t="s">
        <v>442</v>
      </c>
      <c r="J153" s="9"/>
      <c r="L153">
        <v>20000</v>
      </c>
      <c r="M153" t="b">
        <v>0</v>
      </c>
      <c r="N153">
        <f>OptionsTable[[#This Row],[Cost]]</f>
        <v>20000</v>
      </c>
      <c r="O153">
        <v>1</v>
      </c>
    </row>
    <row r="154" spans="2:15" x14ac:dyDescent="0.35">
      <c r="B154" t="s">
        <v>224</v>
      </c>
      <c r="C154" t="s">
        <v>102</v>
      </c>
      <c r="D154" t="s">
        <v>0</v>
      </c>
      <c r="E154">
        <v>11</v>
      </c>
      <c r="F154">
        <v>1</v>
      </c>
      <c r="G154">
        <v>0</v>
      </c>
      <c r="H154" t="b">
        <v>1</v>
      </c>
      <c r="I154" s="110" t="s">
        <v>379</v>
      </c>
      <c r="L154">
        <v>3000</v>
      </c>
      <c r="M154" t="b">
        <v>1</v>
      </c>
      <c r="N154">
        <f>OptionsTable[[#This Row],[Cost]]</f>
        <v>3000</v>
      </c>
      <c r="O154">
        <v>1</v>
      </c>
    </row>
    <row r="155" spans="2:15" x14ac:dyDescent="0.35">
      <c r="B155" t="s">
        <v>254</v>
      </c>
      <c r="C155" t="s">
        <v>267</v>
      </c>
      <c r="D155" t="s">
        <v>0</v>
      </c>
      <c r="E155">
        <v>4</v>
      </c>
      <c r="F155">
        <v>6</v>
      </c>
      <c r="G155">
        <v>0</v>
      </c>
      <c r="H155" t="b">
        <v>0</v>
      </c>
      <c r="I155" s="110"/>
      <c r="J155" s="9"/>
      <c r="L155">
        <v>1000</v>
      </c>
      <c r="M155" t="b">
        <v>0</v>
      </c>
      <c r="N155">
        <f>OptionsTable[[#This Row],[Cost]]</f>
        <v>1000</v>
      </c>
      <c r="O155">
        <v>1</v>
      </c>
    </row>
    <row r="156" spans="2:15" x14ac:dyDescent="0.35">
      <c r="B156" t="s">
        <v>254</v>
      </c>
      <c r="C156" t="s">
        <v>268</v>
      </c>
      <c r="D156" t="s">
        <v>1</v>
      </c>
      <c r="E156">
        <v>8</v>
      </c>
      <c r="F156">
        <v>4</v>
      </c>
      <c r="G156">
        <v>0</v>
      </c>
      <c r="H156" t="b">
        <v>0</v>
      </c>
      <c r="I156" s="110"/>
      <c r="J156" s="9"/>
      <c r="L156">
        <v>2000</v>
      </c>
      <c r="M156" t="b">
        <v>0</v>
      </c>
      <c r="N156">
        <f>OptionsTable[[#This Row],[Cost]]</f>
        <v>2000</v>
      </c>
      <c r="O156">
        <v>1</v>
      </c>
    </row>
    <row r="157" spans="2:15" x14ac:dyDescent="0.35">
      <c r="B157" t="s">
        <v>254</v>
      </c>
      <c r="C157" t="s">
        <v>269</v>
      </c>
      <c r="D157" t="s">
        <v>3</v>
      </c>
      <c r="E157">
        <v>12</v>
      </c>
      <c r="F157">
        <v>2</v>
      </c>
      <c r="G157">
        <v>0</v>
      </c>
      <c r="H157" t="b">
        <v>0</v>
      </c>
      <c r="I157" s="110"/>
      <c r="J157" s="9"/>
      <c r="L157">
        <v>4000</v>
      </c>
      <c r="M157" t="b">
        <v>0</v>
      </c>
      <c r="N157">
        <f>OptionsTable[[#This Row],[Cost]]</f>
        <v>4000</v>
      </c>
      <c r="O157">
        <v>1</v>
      </c>
    </row>
    <row r="158" spans="2:15" x14ac:dyDescent="0.35">
      <c r="B158" t="s">
        <v>239</v>
      </c>
      <c r="C158" t="s">
        <v>240</v>
      </c>
      <c r="E158">
        <v>8</v>
      </c>
      <c r="F158">
        <v>1</v>
      </c>
      <c r="G158">
        <v>0</v>
      </c>
      <c r="H158" t="b">
        <v>0</v>
      </c>
      <c r="I158" s="110" t="s">
        <v>555</v>
      </c>
      <c r="J158" s="9"/>
      <c r="L158">
        <v>200</v>
      </c>
      <c r="M158" t="b">
        <v>0</v>
      </c>
      <c r="N158">
        <f>OptionsTable[[#This Row],[Cost]]</f>
        <v>200</v>
      </c>
      <c r="O158">
        <v>1</v>
      </c>
    </row>
    <row r="159" spans="2:15" x14ac:dyDescent="0.35">
      <c r="B159" t="s">
        <v>239</v>
      </c>
      <c r="C159" t="s">
        <v>241</v>
      </c>
      <c r="D159" t="s">
        <v>0</v>
      </c>
      <c r="E159">
        <v>10</v>
      </c>
      <c r="F159">
        <v>8</v>
      </c>
      <c r="G159">
        <v>0</v>
      </c>
      <c r="H159" t="b">
        <v>0</v>
      </c>
      <c r="I159" s="110"/>
      <c r="J159" s="9"/>
      <c r="L159">
        <v>20000</v>
      </c>
      <c r="M159" t="b">
        <v>0</v>
      </c>
      <c r="N159">
        <f>OptionsTable[[#This Row],[Cost]]</f>
        <v>20000</v>
      </c>
      <c r="O159">
        <v>1</v>
      </c>
    </row>
    <row r="160" spans="2:15" x14ac:dyDescent="0.35">
      <c r="B160" t="s">
        <v>239</v>
      </c>
      <c r="C160" t="s">
        <v>242</v>
      </c>
      <c r="D160" t="s">
        <v>1</v>
      </c>
      <c r="E160">
        <v>12</v>
      </c>
      <c r="F160">
        <v>8</v>
      </c>
      <c r="G160">
        <v>0</v>
      </c>
      <c r="H160" t="b">
        <v>0</v>
      </c>
      <c r="I160" s="110" t="s">
        <v>562</v>
      </c>
      <c r="J160" s="9"/>
      <c r="L160">
        <v>20000</v>
      </c>
      <c r="M160" t="b">
        <v>0</v>
      </c>
      <c r="N160">
        <f>OptionsTable[[#This Row],[Cost]]</f>
        <v>20000</v>
      </c>
      <c r="O160">
        <v>1</v>
      </c>
    </row>
    <row r="161" spans="2:15" x14ac:dyDescent="0.35">
      <c r="B161" t="s">
        <v>239</v>
      </c>
      <c r="C161" t="s">
        <v>559</v>
      </c>
      <c r="D161" t="s">
        <v>0</v>
      </c>
      <c r="E161">
        <v>10</v>
      </c>
      <c r="F161">
        <v>8</v>
      </c>
      <c r="G161">
        <v>0</v>
      </c>
      <c r="H161" t="b">
        <v>0</v>
      </c>
      <c r="I161" s="110"/>
      <c r="J161" s="9"/>
      <c r="L161">
        <v>20000</v>
      </c>
      <c r="M161" t="b">
        <v>0</v>
      </c>
      <c r="N161">
        <f>OptionsTable[[#This Row],[Cost]]</f>
        <v>20000</v>
      </c>
      <c r="O161">
        <v>1</v>
      </c>
    </row>
    <row r="162" spans="2:15" x14ac:dyDescent="0.35">
      <c r="B162" t="s">
        <v>239</v>
      </c>
      <c r="C162" t="s">
        <v>560</v>
      </c>
      <c r="D162" t="s">
        <v>1</v>
      </c>
      <c r="E162">
        <v>12</v>
      </c>
      <c r="F162">
        <v>8</v>
      </c>
      <c r="G162">
        <v>0</v>
      </c>
      <c r="H162" t="b">
        <v>0</v>
      </c>
      <c r="I162" s="110" t="s">
        <v>561</v>
      </c>
      <c r="J162" s="9"/>
      <c r="L162">
        <v>20000</v>
      </c>
      <c r="M162" t="b">
        <v>0</v>
      </c>
      <c r="N162">
        <f>OptionsTable[[#This Row],[Cost]]</f>
        <v>20000</v>
      </c>
      <c r="O162">
        <v>1</v>
      </c>
    </row>
    <row r="163" spans="2:15" x14ac:dyDescent="0.35">
      <c r="B163" t="s">
        <v>239</v>
      </c>
      <c r="C163" t="s">
        <v>706</v>
      </c>
      <c r="E163">
        <v>13</v>
      </c>
      <c r="F163">
        <v>4</v>
      </c>
      <c r="G163">
        <v>0</v>
      </c>
      <c r="H163" t="b">
        <v>0</v>
      </c>
      <c r="I163" s="110"/>
      <c r="J163" s="9"/>
      <c r="L163">
        <v>100000</v>
      </c>
      <c r="M163" t="b">
        <v>0</v>
      </c>
      <c r="N163">
        <f>OptionsTable[[#This Row],[Cost]]</f>
        <v>100000</v>
      </c>
      <c r="O163">
        <v>1</v>
      </c>
    </row>
    <row r="164" spans="2:15" x14ac:dyDescent="0.35">
      <c r="B164" t="s">
        <v>239</v>
      </c>
      <c r="C164" t="s">
        <v>707</v>
      </c>
      <c r="E164">
        <v>13</v>
      </c>
      <c r="F164">
        <v>8</v>
      </c>
      <c r="G164">
        <v>0</v>
      </c>
      <c r="H164" t="b">
        <v>0</v>
      </c>
      <c r="I164" s="110"/>
      <c r="J164" s="9"/>
      <c r="L164">
        <v>200000</v>
      </c>
      <c r="M164" t="b">
        <v>0</v>
      </c>
      <c r="N164">
        <f>OptionsTable[[#This Row],[Cost]]</f>
        <v>200000</v>
      </c>
      <c r="O164">
        <v>1</v>
      </c>
    </row>
    <row r="165" spans="2:15" x14ac:dyDescent="0.35">
      <c r="B165" t="s">
        <v>239</v>
      </c>
      <c r="C165" t="s">
        <v>243</v>
      </c>
      <c r="E165">
        <v>14</v>
      </c>
      <c r="F165">
        <v>8</v>
      </c>
      <c r="G165">
        <v>0</v>
      </c>
      <c r="H165" t="b">
        <v>0</v>
      </c>
      <c r="I165" s="110" t="s">
        <v>556</v>
      </c>
      <c r="J165" s="9"/>
      <c r="L165">
        <v>800000</v>
      </c>
      <c r="M165" t="b">
        <v>0</v>
      </c>
      <c r="N165">
        <f>OptionsTable[[#This Row],[Cost]]</f>
        <v>800000</v>
      </c>
      <c r="O165">
        <v>1</v>
      </c>
    </row>
    <row r="166" spans="2:15" x14ac:dyDescent="0.35">
      <c r="B166" t="s">
        <v>239</v>
      </c>
      <c r="C166" t="s">
        <v>801</v>
      </c>
      <c r="E166">
        <v>10</v>
      </c>
      <c r="F166">
        <v>4</v>
      </c>
      <c r="G166">
        <v>0</v>
      </c>
      <c r="H166" t="b">
        <v>0</v>
      </c>
      <c r="I166" s="110" t="s">
        <v>802</v>
      </c>
      <c r="J166" s="9"/>
      <c r="L166">
        <v>10000</v>
      </c>
      <c r="M166" t="b">
        <v>0</v>
      </c>
      <c r="N166">
        <f>OptionsTable[[#This Row],[Cost]]</f>
        <v>10000</v>
      </c>
      <c r="O166">
        <v>1</v>
      </c>
    </row>
    <row r="167" spans="2:15" x14ac:dyDescent="0.35">
      <c r="B167" t="s">
        <v>239</v>
      </c>
      <c r="C167" t="s">
        <v>200</v>
      </c>
      <c r="D167" t="s">
        <v>0</v>
      </c>
      <c r="E167">
        <v>8</v>
      </c>
      <c r="F167">
        <v>1</v>
      </c>
      <c r="G167">
        <v>0</v>
      </c>
      <c r="H167" t="b">
        <v>0</v>
      </c>
      <c r="I167" s="110" t="s">
        <v>389</v>
      </c>
      <c r="L167">
        <v>1000</v>
      </c>
      <c r="M167" t="b">
        <v>0</v>
      </c>
      <c r="N167">
        <f>OptionsTable[[#This Row],[Cost]]</f>
        <v>1000</v>
      </c>
      <c r="O167">
        <v>1</v>
      </c>
    </row>
    <row r="168" spans="2:15" x14ac:dyDescent="0.35">
      <c r="B168" t="s">
        <v>239</v>
      </c>
      <c r="C168" t="s">
        <v>201</v>
      </c>
      <c r="D168" t="s">
        <v>1</v>
      </c>
      <c r="E168">
        <v>10</v>
      </c>
      <c r="F168">
        <v>1</v>
      </c>
      <c r="G168">
        <v>0</v>
      </c>
      <c r="H168" t="b">
        <v>0</v>
      </c>
      <c r="I168" s="110" t="s">
        <v>390</v>
      </c>
      <c r="L168">
        <v>1500</v>
      </c>
      <c r="M168" t="b">
        <v>0</v>
      </c>
      <c r="N168">
        <f>OptionsTable[[#This Row],[Cost]]</f>
        <v>1500</v>
      </c>
      <c r="O168">
        <v>1</v>
      </c>
    </row>
    <row r="169" spans="2:15" x14ac:dyDescent="0.35">
      <c r="B169" t="s">
        <v>239</v>
      </c>
      <c r="C169" t="s">
        <v>202</v>
      </c>
      <c r="D169" t="s">
        <v>2</v>
      </c>
      <c r="E169">
        <v>12</v>
      </c>
      <c r="F169">
        <v>1</v>
      </c>
      <c r="G169">
        <v>0</v>
      </c>
      <c r="H169" t="b">
        <v>0</v>
      </c>
      <c r="I169" s="110" t="s">
        <v>391</v>
      </c>
      <c r="L169">
        <v>5000</v>
      </c>
      <c r="M169" t="b">
        <v>0</v>
      </c>
      <c r="N169">
        <f>OptionsTable[[#This Row],[Cost]]</f>
        <v>5000</v>
      </c>
      <c r="O169">
        <v>1</v>
      </c>
    </row>
    <row r="170" spans="2:15" x14ac:dyDescent="0.35">
      <c r="B170" t="s">
        <v>239</v>
      </c>
      <c r="C170" t="s">
        <v>203</v>
      </c>
      <c r="D170" t="s">
        <v>3</v>
      </c>
      <c r="E170">
        <v>14</v>
      </c>
      <c r="F170">
        <v>1</v>
      </c>
      <c r="G170">
        <v>0</v>
      </c>
      <c r="H170" t="b">
        <v>0</v>
      </c>
      <c r="I170" s="110" t="s">
        <v>392</v>
      </c>
      <c r="L170">
        <v>10000</v>
      </c>
      <c r="M170" t="b">
        <v>0</v>
      </c>
      <c r="N170">
        <f>OptionsTable[[#This Row],[Cost]]</f>
        <v>10000</v>
      </c>
      <c r="O170">
        <v>1</v>
      </c>
    </row>
    <row r="171" spans="2:15" x14ac:dyDescent="0.35">
      <c r="B171" t="s">
        <v>270</v>
      </c>
      <c r="C171" t="s">
        <v>431</v>
      </c>
      <c r="E171">
        <v>5</v>
      </c>
      <c r="F171">
        <v>5</v>
      </c>
      <c r="G171">
        <v>0</v>
      </c>
      <c r="H171" t="b">
        <v>0</v>
      </c>
      <c r="I171" s="110" t="s">
        <v>445</v>
      </c>
      <c r="J171" s="9"/>
      <c r="L171">
        <v>2000</v>
      </c>
      <c r="M171" t="b">
        <v>0</v>
      </c>
      <c r="N171">
        <f>OptionsTable[[#This Row],[Cost]]</f>
        <v>2000</v>
      </c>
      <c r="O171">
        <v>1</v>
      </c>
    </row>
    <row r="172" spans="2:15" x14ac:dyDescent="0.35">
      <c r="B172" t="s">
        <v>270</v>
      </c>
      <c r="C172" t="s">
        <v>432</v>
      </c>
      <c r="E172">
        <v>5</v>
      </c>
      <c r="F172">
        <v>15</v>
      </c>
      <c r="G172">
        <v>0</v>
      </c>
      <c r="H172" t="b">
        <v>0</v>
      </c>
      <c r="I172" s="110" t="s">
        <v>589</v>
      </c>
      <c r="J172" s="9"/>
      <c r="L172">
        <v>5000</v>
      </c>
      <c r="M172" t="b">
        <v>0</v>
      </c>
      <c r="N172">
        <f>OptionsTable[[#This Row],[Cost]]</f>
        <v>5000</v>
      </c>
      <c r="O172">
        <v>1</v>
      </c>
    </row>
    <row r="173" spans="2:15" x14ac:dyDescent="0.35">
      <c r="B173" t="s">
        <v>270</v>
      </c>
      <c r="C173" t="s">
        <v>433</v>
      </c>
      <c r="E173">
        <v>5</v>
      </c>
      <c r="F173">
        <v>45</v>
      </c>
      <c r="G173">
        <v>0</v>
      </c>
      <c r="H173" t="b">
        <v>0</v>
      </c>
      <c r="I173" s="110" t="s">
        <v>590</v>
      </c>
      <c r="J173" s="9"/>
      <c r="L173">
        <v>15000</v>
      </c>
      <c r="M173" t="b">
        <v>0</v>
      </c>
      <c r="N173">
        <f>OptionsTable[[#This Row],[Cost]]</f>
        <v>15000</v>
      </c>
      <c r="O173">
        <v>1</v>
      </c>
    </row>
    <row r="174" spans="2:15" x14ac:dyDescent="0.35">
      <c r="B174" t="s">
        <v>270</v>
      </c>
      <c r="C174" t="s">
        <v>235</v>
      </c>
      <c r="D174" t="s">
        <v>0</v>
      </c>
      <c r="E174">
        <v>8</v>
      </c>
      <c r="F174">
        <v>2</v>
      </c>
      <c r="G174">
        <v>0</v>
      </c>
      <c r="H174" t="b">
        <v>0</v>
      </c>
      <c r="I174" s="110"/>
      <c r="J174" s="9"/>
      <c r="K174" t="s">
        <v>329</v>
      </c>
      <c r="L174">
        <v>2000</v>
      </c>
      <c r="M174" t="b">
        <v>0</v>
      </c>
      <c r="N174">
        <f>OptionsTable[[#This Row],[Cost]]</f>
        <v>2000</v>
      </c>
      <c r="O174">
        <v>1</v>
      </c>
    </row>
    <row r="175" spans="2:15" x14ac:dyDescent="0.35">
      <c r="B175" t="s">
        <v>270</v>
      </c>
      <c r="C175" t="s">
        <v>236</v>
      </c>
      <c r="D175" t="s">
        <v>1</v>
      </c>
      <c r="E175">
        <v>10</v>
      </c>
      <c r="F175">
        <v>2</v>
      </c>
      <c r="G175">
        <v>0</v>
      </c>
      <c r="H175" t="b">
        <v>0</v>
      </c>
      <c r="I175" s="110"/>
      <c r="J175" s="9"/>
      <c r="K175" t="s">
        <v>330</v>
      </c>
      <c r="L175">
        <v>10000</v>
      </c>
      <c r="M175" t="b">
        <v>0</v>
      </c>
      <c r="N175">
        <f>OptionsTable[[#This Row],[Cost]]</f>
        <v>10000</v>
      </c>
      <c r="O175">
        <v>1</v>
      </c>
    </row>
    <row r="176" spans="2:15" x14ac:dyDescent="0.35">
      <c r="B176" t="s">
        <v>270</v>
      </c>
      <c r="C176" t="s">
        <v>237</v>
      </c>
      <c r="D176" t="s">
        <v>2</v>
      </c>
      <c r="E176">
        <v>12</v>
      </c>
      <c r="F176">
        <v>1</v>
      </c>
      <c r="G176">
        <v>0</v>
      </c>
      <c r="H176" t="b">
        <v>0</v>
      </c>
      <c r="I176" s="110"/>
      <c r="J176" s="9"/>
      <c r="K176" t="s">
        <v>331</v>
      </c>
      <c r="L176">
        <v>25000</v>
      </c>
      <c r="M176" t="b">
        <v>0</v>
      </c>
      <c r="N176">
        <f>OptionsTable[[#This Row],[Cost]]</f>
        <v>25000</v>
      </c>
      <c r="O176">
        <v>1</v>
      </c>
    </row>
    <row r="177" spans="2:15" x14ac:dyDescent="0.35">
      <c r="B177" t="s">
        <v>270</v>
      </c>
      <c r="C177" t="s">
        <v>238</v>
      </c>
      <c r="D177" t="s">
        <v>3</v>
      </c>
      <c r="E177">
        <v>14</v>
      </c>
      <c r="F177">
        <v>1</v>
      </c>
      <c r="G177">
        <v>0</v>
      </c>
      <c r="H177" t="b">
        <v>0</v>
      </c>
      <c r="I177" s="110"/>
      <c r="J177" s="9"/>
      <c r="K177" t="s">
        <v>332</v>
      </c>
      <c r="L177">
        <v>50000</v>
      </c>
      <c r="M177" t="b">
        <v>0</v>
      </c>
      <c r="N177">
        <f>OptionsTable[[#This Row],[Cost]]</f>
        <v>50000</v>
      </c>
      <c r="O177">
        <v>1</v>
      </c>
    </row>
    <row r="178" spans="2:15" x14ac:dyDescent="0.35">
      <c r="B178" t="s">
        <v>9</v>
      </c>
      <c r="C178" t="s">
        <v>282</v>
      </c>
      <c r="E178">
        <v>15</v>
      </c>
      <c r="F178">
        <v>5</v>
      </c>
      <c r="G178">
        <v>0</v>
      </c>
      <c r="H178" t="b">
        <v>0</v>
      </c>
      <c r="I178" s="110" t="s">
        <v>397</v>
      </c>
      <c r="J178" s="9"/>
      <c r="L178">
        <v>35000</v>
      </c>
      <c r="M178" t="b">
        <v>0</v>
      </c>
      <c r="N178">
        <f>OptionsTable[[#This Row],[Cost]]</f>
        <v>35000</v>
      </c>
      <c r="O178">
        <v>1</v>
      </c>
    </row>
    <row r="179" spans="2:15" x14ac:dyDescent="0.35">
      <c r="B179" t="s">
        <v>248</v>
      </c>
      <c r="C179" t="s">
        <v>249</v>
      </c>
      <c r="E179">
        <v>6</v>
      </c>
      <c r="F179">
        <v>0</v>
      </c>
      <c r="G179">
        <v>-0.1</v>
      </c>
      <c r="H179" t="b">
        <v>0</v>
      </c>
      <c r="I179" s="110"/>
      <c r="J179" s="9"/>
      <c r="L179">
        <v>0</v>
      </c>
      <c r="M179" t="b">
        <v>1</v>
      </c>
      <c r="N179">
        <f>OptionsTable[[#This Row],[Cost]]</f>
        <v>0</v>
      </c>
      <c r="O179">
        <v>1</v>
      </c>
    </row>
    <row r="180" spans="2:15" x14ac:dyDescent="0.35">
      <c r="B180" t="s">
        <v>9</v>
      </c>
      <c r="C180" t="s">
        <v>283</v>
      </c>
      <c r="E180">
        <v>12</v>
      </c>
      <c r="F180">
        <v>5</v>
      </c>
      <c r="G180">
        <v>0</v>
      </c>
      <c r="H180" t="b">
        <v>0</v>
      </c>
      <c r="I180" s="110" t="s">
        <v>398</v>
      </c>
      <c r="J180" s="9"/>
      <c r="L180">
        <v>25000</v>
      </c>
      <c r="M180" t="b">
        <v>0</v>
      </c>
      <c r="N180">
        <f>OptionsTable[[#This Row],[Cost]]</f>
        <v>25000</v>
      </c>
      <c r="O180">
        <v>1</v>
      </c>
    </row>
    <row r="181" spans="2:15" x14ac:dyDescent="0.35">
      <c r="B181" t="s">
        <v>248</v>
      </c>
      <c r="C181" t="s">
        <v>629</v>
      </c>
      <c r="E181">
        <v>8</v>
      </c>
      <c r="F181">
        <v>1</v>
      </c>
      <c r="G181">
        <v>0</v>
      </c>
      <c r="H181" t="b">
        <v>1</v>
      </c>
      <c r="I181" s="110" t="s">
        <v>630</v>
      </c>
      <c r="J181" s="9"/>
      <c r="L181">
        <v>200</v>
      </c>
      <c r="M181" t="b">
        <v>0</v>
      </c>
      <c r="N181">
        <f>OptionsTable[[#This Row],[Cost]]</f>
        <v>200</v>
      </c>
      <c r="O181">
        <v>1</v>
      </c>
    </row>
    <row r="182" spans="2:15" x14ac:dyDescent="0.35">
      <c r="B182" t="s">
        <v>224</v>
      </c>
      <c r="C182" t="s">
        <v>103</v>
      </c>
      <c r="D182" t="s">
        <v>0</v>
      </c>
      <c r="E182">
        <v>7</v>
      </c>
      <c r="F182">
        <v>1</v>
      </c>
      <c r="G182">
        <v>0</v>
      </c>
      <c r="H182" t="b">
        <v>1</v>
      </c>
      <c r="I182" s="128" t="s">
        <v>380</v>
      </c>
      <c r="L182">
        <v>600</v>
      </c>
      <c r="M182" t="b">
        <v>1</v>
      </c>
      <c r="N182">
        <f>OptionsTable[[#This Row],[Cost]]</f>
        <v>600</v>
      </c>
      <c r="O182">
        <v>1</v>
      </c>
    </row>
    <row r="183" spans="2:15" x14ac:dyDescent="0.35">
      <c r="B183" t="s">
        <v>9</v>
      </c>
      <c r="C183" t="s">
        <v>218</v>
      </c>
      <c r="D183" t="s">
        <v>0</v>
      </c>
      <c r="E183">
        <v>7</v>
      </c>
      <c r="F183">
        <v>2</v>
      </c>
      <c r="G183">
        <v>0</v>
      </c>
      <c r="H183" t="b">
        <v>0</v>
      </c>
      <c r="I183" s="110"/>
      <c r="K183" t="s">
        <v>333</v>
      </c>
      <c r="L183">
        <v>1000</v>
      </c>
      <c r="M183" t="b">
        <v>0</v>
      </c>
      <c r="N183">
        <f>OptionsTable[[#This Row],[Cost]]</f>
        <v>1000</v>
      </c>
      <c r="O183">
        <v>1</v>
      </c>
    </row>
    <row r="184" spans="2:15" x14ac:dyDescent="0.35">
      <c r="B184" t="s">
        <v>9</v>
      </c>
      <c r="C184" t="s">
        <v>219</v>
      </c>
      <c r="D184" t="s">
        <v>1</v>
      </c>
      <c r="E184">
        <v>8</v>
      </c>
      <c r="F184">
        <v>1</v>
      </c>
      <c r="G184">
        <v>0</v>
      </c>
      <c r="H184" t="b">
        <v>1</v>
      </c>
      <c r="I184" s="110"/>
      <c r="K184" t="s">
        <v>333</v>
      </c>
      <c r="L184">
        <v>100</v>
      </c>
      <c r="M184" t="b">
        <v>0</v>
      </c>
      <c r="N184">
        <f>OptionsTable[[#This Row],[Cost]]</f>
        <v>100</v>
      </c>
      <c r="O184">
        <v>1</v>
      </c>
    </row>
    <row r="185" spans="2:15" x14ac:dyDescent="0.35">
      <c r="B185" t="s">
        <v>9</v>
      </c>
      <c r="C185" t="s">
        <v>220</v>
      </c>
      <c r="D185" t="s">
        <v>2</v>
      </c>
      <c r="E185">
        <v>10</v>
      </c>
      <c r="F185">
        <v>1</v>
      </c>
      <c r="G185">
        <v>0</v>
      </c>
      <c r="H185" t="b">
        <v>1</v>
      </c>
      <c r="I185" s="110"/>
      <c r="K185" t="s">
        <v>334</v>
      </c>
      <c r="L185">
        <v>10000</v>
      </c>
      <c r="M185" t="b">
        <v>0</v>
      </c>
      <c r="N185">
        <f>OptionsTable[[#This Row],[Cost]]</f>
        <v>10000</v>
      </c>
      <c r="O185">
        <v>1</v>
      </c>
    </row>
    <row r="186" spans="2:15" x14ac:dyDescent="0.35">
      <c r="B186" t="s">
        <v>9</v>
      </c>
      <c r="C186" t="s">
        <v>221</v>
      </c>
      <c r="D186" t="s">
        <v>3</v>
      </c>
      <c r="E186">
        <v>12</v>
      </c>
      <c r="F186">
        <v>1</v>
      </c>
      <c r="G186">
        <v>0</v>
      </c>
      <c r="H186" t="b">
        <v>1</v>
      </c>
      <c r="I186" s="110"/>
      <c r="K186" t="s">
        <v>335</v>
      </c>
      <c r="L186">
        <v>20000</v>
      </c>
      <c r="M186" t="b">
        <v>0</v>
      </c>
      <c r="N186">
        <f>OptionsTable[[#This Row],[Cost]]</f>
        <v>20000</v>
      </c>
      <c r="O186">
        <v>1</v>
      </c>
    </row>
    <row r="187" spans="2:15" x14ac:dyDescent="0.35">
      <c r="B187" t="s">
        <v>40</v>
      </c>
      <c r="C187" t="s">
        <v>449</v>
      </c>
      <c r="D187" t="s">
        <v>0</v>
      </c>
      <c r="E187">
        <v>7</v>
      </c>
      <c r="F187">
        <v>2</v>
      </c>
      <c r="G187">
        <v>0</v>
      </c>
      <c r="H187" t="b">
        <v>0</v>
      </c>
      <c r="I187" s="110" t="s">
        <v>381</v>
      </c>
      <c r="J187" s="9"/>
      <c r="L187">
        <v>2000</v>
      </c>
      <c r="M187" t="b">
        <v>0</v>
      </c>
      <c r="N187">
        <f>OptionsTable[[#This Row],[Cost]]</f>
        <v>2000</v>
      </c>
      <c r="O187">
        <v>1</v>
      </c>
    </row>
    <row r="188" spans="2:15" x14ac:dyDescent="0.35">
      <c r="B188" t="s">
        <v>40</v>
      </c>
      <c r="C188" t="s">
        <v>450</v>
      </c>
      <c r="D188" t="s">
        <v>1</v>
      </c>
      <c r="E188">
        <v>9</v>
      </c>
      <c r="F188">
        <v>1</v>
      </c>
      <c r="G188">
        <v>0</v>
      </c>
      <c r="H188" t="b">
        <v>0</v>
      </c>
      <c r="I188" s="110" t="s">
        <v>382</v>
      </c>
      <c r="J188" s="9"/>
      <c r="L188">
        <v>10000</v>
      </c>
      <c r="M188" t="b">
        <v>0</v>
      </c>
      <c r="N188">
        <f>OptionsTable[[#This Row],[Cost]]</f>
        <v>10000</v>
      </c>
      <c r="O188">
        <v>1</v>
      </c>
    </row>
    <row r="189" spans="2:15" x14ac:dyDescent="0.35">
      <c r="B189" t="s">
        <v>40</v>
      </c>
      <c r="C189" t="s">
        <v>451</v>
      </c>
      <c r="D189" t="s">
        <v>2</v>
      </c>
      <c r="E189">
        <v>10</v>
      </c>
      <c r="F189">
        <v>1</v>
      </c>
      <c r="G189">
        <v>0</v>
      </c>
      <c r="H189" t="b">
        <v>0</v>
      </c>
      <c r="I189" s="110" t="s">
        <v>383</v>
      </c>
      <c r="J189" s="9"/>
      <c r="L189">
        <v>20000</v>
      </c>
      <c r="M189" t="b">
        <v>0</v>
      </c>
      <c r="N189">
        <f>OptionsTable[[#This Row],[Cost]]</f>
        <v>20000</v>
      </c>
      <c r="O189">
        <v>1</v>
      </c>
    </row>
    <row r="190" spans="2:15" x14ac:dyDescent="0.35">
      <c r="B190" t="s">
        <v>40</v>
      </c>
      <c r="C190" t="s">
        <v>452</v>
      </c>
      <c r="D190" t="s">
        <v>3</v>
      </c>
      <c r="E190">
        <v>11</v>
      </c>
      <c r="F190">
        <v>1</v>
      </c>
      <c r="G190">
        <v>0</v>
      </c>
      <c r="H190" t="b">
        <v>0</v>
      </c>
      <c r="I190" s="110" t="s">
        <v>384</v>
      </c>
      <c r="J190" s="9"/>
      <c r="L190">
        <v>50000</v>
      </c>
      <c r="M190" t="b">
        <v>0</v>
      </c>
      <c r="N190">
        <f>OptionsTable[[#This Row],[Cost]]</f>
        <v>50000</v>
      </c>
      <c r="O190">
        <v>1</v>
      </c>
    </row>
    <row r="191" spans="2:15" x14ac:dyDescent="0.35">
      <c r="B191" t="s">
        <v>248</v>
      </c>
      <c r="C191" t="s">
        <v>506</v>
      </c>
      <c r="D191" t="s">
        <v>0</v>
      </c>
      <c r="E191">
        <v>7</v>
      </c>
      <c r="F191">
        <v>0</v>
      </c>
      <c r="G191">
        <v>0.2</v>
      </c>
      <c r="H191" t="b">
        <v>0</v>
      </c>
      <c r="I191" s="110" t="s">
        <v>415</v>
      </c>
      <c r="J191" s="9"/>
      <c r="L191">
        <v>20000</v>
      </c>
      <c r="M191" t="b">
        <v>1</v>
      </c>
      <c r="N191">
        <f>OptionsTable[[#This Row],[Cost]]</f>
        <v>20000</v>
      </c>
      <c r="O191">
        <v>1</v>
      </c>
    </row>
    <row r="192" spans="2:15" x14ac:dyDescent="0.35">
      <c r="B192" t="s">
        <v>248</v>
      </c>
      <c r="C192" t="s">
        <v>507</v>
      </c>
      <c r="D192" t="s">
        <v>1</v>
      </c>
      <c r="E192">
        <v>9</v>
      </c>
      <c r="F192">
        <v>0</v>
      </c>
      <c r="G192">
        <v>0.15</v>
      </c>
      <c r="H192" t="b">
        <v>0</v>
      </c>
      <c r="I192" s="110" t="s">
        <v>416</v>
      </c>
      <c r="J192" s="9"/>
      <c r="L192">
        <v>50000</v>
      </c>
      <c r="M192" t="b">
        <v>1</v>
      </c>
      <c r="N192">
        <f>OptionsTable[[#This Row],[Cost]]</f>
        <v>50000</v>
      </c>
      <c r="O192">
        <v>1</v>
      </c>
    </row>
    <row r="193" spans="2:15" x14ac:dyDescent="0.35">
      <c r="B193" t="s">
        <v>248</v>
      </c>
      <c r="C193" t="s">
        <v>508</v>
      </c>
      <c r="D193" t="s">
        <v>3</v>
      </c>
      <c r="E193">
        <v>11</v>
      </c>
      <c r="F193">
        <v>0</v>
      </c>
      <c r="G193">
        <v>0.1</v>
      </c>
      <c r="H193" t="b">
        <v>0</v>
      </c>
      <c r="I193" s="110" t="s">
        <v>417</v>
      </c>
      <c r="J193" s="9"/>
      <c r="L193">
        <v>100000</v>
      </c>
      <c r="M193" t="b">
        <v>1</v>
      </c>
      <c r="N193">
        <f>OptionsTable[[#This Row],[Cost]]</f>
        <v>100000</v>
      </c>
      <c r="O193">
        <v>1</v>
      </c>
    </row>
    <row r="194" spans="2:15" x14ac:dyDescent="0.35">
      <c r="B194" t="s">
        <v>248</v>
      </c>
      <c r="C194" t="s">
        <v>509</v>
      </c>
      <c r="D194" t="s">
        <v>0</v>
      </c>
      <c r="E194">
        <v>8</v>
      </c>
      <c r="F194">
        <v>0</v>
      </c>
      <c r="G194">
        <v>0.15</v>
      </c>
      <c r="H194" t="b">
        <v>0</v>
      </c>
      <c r="I194" s="110" t="s">
        <v>512</v>
      </c>
      <c r="J194" s="9"/>
      <c r="L194">
        <v>50000</v>
      </c>
      <c r="M194" t="b">
        <v>1</v>
      </c>
      <c r="N194">
        <f>OptionsTable[[#This Row],[Cost]]</f>
        <v>50000</v>
      </c>
      <c r="O194">
        <v>1</v>
      </c>
    </row>
    <row r="195" spans="2:15" x14ac:dyDescent="0.35">
      <c r="B195" t="s">
        <v>248</v>
      </c>
      <c r="C195" t="s">
        <v>510</v>
      </c>
      <c r="D195" t="s">
        <v>1</v>
      </c>
      <c r="E195">
        <v>10</v>
      </c>
      <c r="F195">
        <v>0</v>
      </c>
      <c r="G195">
        <v>0.1</v>
      </c>
      <c r="H195" t="b">
        <v>0</v>
      </c>
      <c r="I195" s="110" t="s">
        <v>513</v>
      </c>
      <c r="J195" s="9"/>
      <c r="L195">
        <v>100000</v>
      </c>
      <c r="M195" t="b">
        <v>1</v>
      </c>
      <c r="N195">
        <f>OptionsTable[[#This Row],[Cost]]</f>
        <v>100000</v>
      </c>
      <c r="O195">
        <v>1</v>
      </c>
    </row>
    <row r="196" spans="2:15" x14ac:dyDescent="0.35">
      <c r="B196" t="s">
        <v>248</v>
      </c>
      <c r="C196" t="s">
        <v>511</v>
      </c>
      <c r="D196" t="s">
        <v>3</v>
      </c>
      <c r="E196">
        <v>12</v>
      </c>
      <c r="F196">
        <v>0</v>
      </c>
      <c r="G196">
        <v>0.05</v>
      </c>
      <c r="H196" t="b">
        <v>0</v>
      </c>
      <c r="I196" s="110" t="s">
        <v>514</v>
      </c>
      <c r="J196" s="9"/>
      <c r="L196">
        <v>200000</v>
      </c>
      <c r="M196" t="b">
        <v>1</v>
      </c>
      <c r="N196">
        <f>OptionsTable[[#This Row],[Cost]]</f>
        <v>200000</v>
      </c>
      <c r="O196">
        <v>1</v>
      </c>
    </row>
    <row r="197" spans="2:15" x14ac:dyDescent="0.35">
      <c r="B197" t="s">
        <v>40</v>
      </c>
      <c r="C197" t="s">
        <v>233</v>
      </c>
      <c r="E197">
        <v>6</v>
      </c>
      <c r="F197">
        <v>2</v>
      </c>
      <c r="G197">
        <v>0</v>
      </c>
      <c r="H197" t="b">
        <v>0</v>
      </c>
      <c r="I197" s="110"/>
      <c r="J197" s="9"/>
      <c r="L197">
        <v>1000</v>
      </c>
      <c r="M197" t="b">
        <v>0</v>
      </c>
      <c r="N197">
        <f>OptionsTable[[#This Row],[Cost]]</f>
        <v>1000</v>
      </c>
      <c r="O197">
        <v>1</v>
      </c>
    </row>
    <row r="198" spans="2:15" x14ac:dyDescent="0.35">
      <c r="B198" t="s">
        <v>254</v>
      </c>
      <c r="C198" t="s">
        <v>255</v>
      </c>
      <c r="D198" t="s">
        <v>0</v>
      </c>
      <c r="E198">
        <v>5</v>
      </c>
      <c r="F198">
        <v>4</v>
      </c>
      <c r="G198">
        <v>0</v>
      </c>
      <c r="H198" t="b">
        <v>0</v>
      </c>
      <c r="I198" s="110" t="s">
        <v>389</v>
      </c>
      <c r="J198" s="9"/>
      <c r="L198">
        <v>2000</v>
      </c>
      <c r="M198" t="b">
        <v>0</v>
      </c>
      <c r="N198">
        <f>OptionsTable[[#This Row],[Cost]]</f>
        <v>2000</v>
      </c>
      <c r="O198">
        <v>1</v>
      </c>
    </row>
    <row r="199" spans="2:15" x14ac:dyDescent="0.35">
      <c r="B199" t="s">
        <v>254</v>
      </c>
      <c r="C199" t="s">
        <v>256</v>
      </c>
      <c r="D199" t="s">
        <v>1</v>
      </c>
      <c r="E199">
        <v>8</v>
      </c>
      <c r="F199">
        <v>3</v>
      </c>
      <c r="G199">
        <v>0</v>
      </c>
      <c r="H199" t="b">
        <v>0</v>
      </c>
      <c r="I199" s="110" t="s">
        <v>390</v>
      </c>
      <c r="J199" s="9"/>
      <c r="L199">
        <v>4000</v>
      </c>
      <c r="M199" t="b">
        <v>0</v>
      </c>
      <c r="N199">
        <f>OptionsTable[[#This Row],[Cost]]</f>
        <v>4000</v>
      </c>
      <c r="O199">
        <v>1</v>
      </c>
    </row>
    <row r="200" spans="2:15" x14ac:dyDescent="0.35">
      <c r="B200" t="s">
        <v>254</v>
      </c>
      <c r="C200" t="s">
        <v>257</v>
      </c>
      <c r="D200" t="s">
        <v>2</v>
      </c>
      <c r="E200">
        <v>11</v>
      </c>
      <c r="F200">
        <v>3</v>
      </c>
      <c r="G200">
        <v>0</v>
      </c>
      <c r="H200" t="b">
        <v>0</v>
      </c>
      <c r="I200" s="110" t="s">
        <v>391</v>
      </c>
      <c r="J200" s="9"/>
      <c r="L200">
        <v>6000</v>
      </c>
      <c r="M200" t="b">
        <v>0</v>
      </c>
      <c r="N200">
        <f>OptionsTable[[#This Row],[Cost]]</f>
        <v>6000</v>
      </c>
      <c r="O200">
        <v>1</v>
      </c>
    </row>
    <row r="201" spans="2:15" x14ac:dyDescent="0.35">
      <c r="B201" t="s">
        <v>254</v>
      </c>
      <c r="C201" t="s">
        <v>258</v>
      </c>
      <c r="D201" t="s">
        <v>3</v>
      </c>
      <c r="E201">
        <v>14</v>
      </c>
      <c r="F201">
        <v>3</v>
      </c>
      <c r="G201">
        <v>0</v>
      </c>
      <c r="H201" t="b">
        <v>0</v>
      </c>
      <c r="I201" s="110" t="s">
        <v>392</v>
      </c>
      <c r="J201" s="9"/>
      <c r="L201">
        <v>8000</v>
      </c>
      <c r="M201" t="b">
        <v>0</v>
      </c>
      <c r="N201">
        <f>OptionsTable[[#This Row],[Cost]]</f>
        <v>8000</v>
      </c>
      <c r="O201">
        <v>1</v>
      </c>
    </row>
    <row r="202" spans="2:15" x14ac:dyDescent="0.35">
      <c r="B202" t="s">
        <v>270</v>
      </c>
      <c r="C202" t="s">
        <v>725</v>
      </c>
      <c r="E202">
        <v>8</v>
      </c>
      <c r="G202">
        <v>0.05</v>
      </c>
      <c r="H202" t="b">
        <v>1</v>
      </c>
      <c r="I202" s="110"/>
      <c r="J202" s="9"/>
      <c r="L202">
        <v>500</v>
      </c>
      <c r="M202" t="b">
        <v>1</v>
      </c>
      <c r="N202">
        <f>OptionsTable[[#This Row],[Cost]]</f>
        <v>500</v>
      </c>
      <c r="O202">
        <v>1</v>
      </c>
    </row>
    <row r="203" spans="2:15" x14ac:dyDescent="0.35">
      <c r="B203" t="s">
        <v>270</v>
      </c>
      <c r="C203" t="s">
        <v>726</v>
      </c>
      <c r="E203">
        <v>6</v>
      </c>
      <c r="G203">
        <v>0.1</v>
      </c>
      <c r="H203" t="b">
        <v>1</v>
      </c>
      <c r="I203" s="110"/>
      <c r="J203" s="9"/>
      <c r="L203">
        <v>1000</v>
      </c>
      <c r="M203" t="b">
        <v>1</v>
      </c>
      <c r="N203">
        <f>OptionsTable[[#This Row],[Cost]]</f>
        <v>1000</v>
      </c>
      <c r="O203">
        <v>1</v>
      </c>
    </row>
    <row r="204" spans="2:15" x14ac:dyDescent="0.35">
      <c r="B204" t="s">
        <v>270</v>
      </c>
      <c r="C204" t="s">
        <v>727</v>
      </c>
      <c r="E204">
        <v>12</v>
      </c>
      <c r="G204">
        <v>0.1</v>
      </c>
      <c r="H204" t="b">
        <v>0</v>
      </c>
      <c r="I204" s="110"/>
      <c r="J204" s="9"/>
      <c r="L204">
        <v>5000</v>
      </c>
      <c r="M204" t="b">
        <v>1</v>
      </c>
      <c r="N204">
        <f>OptionsTable[[#This Row],[Cost]]</f>
        <v>5000</v>
      </c>
      <c r="O204">
        <v>1</v>
      </c>
    </row>
    <row r="205" spans="2:15" x14ac:dyDescent="0.35">
      <c r="B205" t="s">
        <v>270</v>
      </c>
      <c r="C205" t="s">
        <v>728</v>
      </c>
      <c r="E205">
        <v>12</v>
      </c>
      <c r="F205">
        <v>4</v>
      </c>
      <c r="G205">
        <v>0</v>
      </c>
      <c r="H205" t="b">
        <v>0</v>
      </c>
      <c r="I205" s="110"/>
      <c r="J205" s="9"/>
      <c r="L205">
        <v>500000</v>
      </c>
      <c r="M205" t="b">
        <v>0</v>
      </c>
      <c r="N205">
        <f>OptionsTable[[#This Row],[Cost]]</f>
        <v>500000</v>
      </c>
      <c r="O205">
        <v>1</v>
      </c>
    </row>
    <row r="206" spans="2:15" x14ac:dyDescent="0.35">
      <c r="B206" t="s">
        <v>270</v>
      </c>
      <c r="C206" t="s">
        <v>748</v>
      </c>
      <c r="D206" t="s">
        <v>2</v>
      </c>
      <c r="E206">
        <v>13</v>
      </c>
      <c r="F206">
        <v>0</v>
      </c>
      <c r="G206">
        <v>0.1</v>
      </c>
      <c r="H206" t="b">
        <v>0</v>
      </c>
      <c r="I206" s="110" t="s">
        <v>703</v>
      </c>
      <c r="J206" s="9"/>
      <c r="L206">
        <v>200000</v>
      </c>
      <c r="M206" t="b">
        <v>1</v>
      </c>
      <c r="N206">
        <f>OptionsTable[[#This Row],[Cost]]</f>
        <v>200000</v>
      </c>
      <c r="O206">
        <v>1</v>
      </c>
    </row>
    <row r="207" spans="2:15" x14ac:dyDescent="0.35">
      <c r="B207" t="s">
        <v>270</v>
      </c>
      <c r="C207" t="s">
        <v>749</v>
      </c>
      <c r="D207" t="s">
        <v>3</v>
      </c>
      <c r="E207">
        <v>15</v>
      </c>
      <c r="F207">
        <v>0</v>
      </c>
      <c r="G207">
        <v>0.1</v>
      </c>
      <c r="H207" t="b">
        <v>0</v>
      </c>
      <c r="I207" s="110" t="s">
        <v>704</v>
      </c>
      <c r="J207" s="9"/>
      <c r="L207">
        <v>500000</v>
      </c>
      <c r="M207" t="b">
        <v>1</v>
      </c>
      <c r="N207">
        <f>OptionsTable[[#This Row],[Cost]]</f>
        <v>500000</v>
      </c>
      <c r="O207">
        <v>1</v>
      </c>
    </row>
    <row r="208" spans="2:15" x14ac:dyDescent="0.35">
      <c r="B208" t="s">
        <v>224</v>
      </c>
      <c r="C208" t="s">
        <v>223</v>
      </c>
      <c r="E208">
        <v>11</v>
      </c>
      <c r="F208">
        <v>0</v>
      </c>
      <c r="G208">
        <v>0.05</v>
      </c>
      <c r="H208" t="b">
        <v>0</v>
      </c>
      <c r="I208" s="110" t="s">
        <v>414</v>
      </c>
      <c r="J208" s="9"/>
      <c r="L208">
        <v>1000</v>
      </c>
      <c r="M208" t="b">
        <v>1</v>
      </c>
      <c r="N208">
        <f>OptionsTable[[#This Row],[Cost]]</f>
        <v>1000</v>
      </c>
      <c r="O208">
        <v>1</v>
      </c>
    </row>
    <row r="209" spans="2:15" x14ac:dyDescent="0.35">
      <c r="B209" t="s">
        <v>248</v>
      </c>
      <c r="C209" t="s">
        <v>250</v>
      </c>
      <c r="D209" t="s">
        <v>0</v>
      </c>
      <c r="E209">
        <v>6</v>
      </c>
      <c r="F209">
        <v>0</v>
      </c>
      <c r="G209">
        <v>0.2</v>
      </c>
      <c r="H209" t="b">
        <v>0</v>
      </c>
      <c r="I209" s="110" t="s">
        <v>395</v>
      </c>
      <c r="J209" s="9"/>
      <c r="L209">
        <v>2000</v>
      </c>
      <c r="M209" t="b">
        <v>1</v>
      </c>
      <c r="N209">
        <f>OptionsTable[[#This Row],[Cost]]</f>
        <v>2000</v>
      </c>
      <c r="O209">
        <v>1</v>
      </c>
    </row>
    <row r="210" spans="2:15" x14ac:dyDescent="0.35">
      <c r="B210" t="s">
        <v>248</v>
      </c>
      <c r="C210" t="s">
        <v>251</v>
      </c>
      <c r="D210" t="s">
        <v>1</v>
      </c>
      <c r="E210">
        <v>8</v>
      </c>
      <c r="F210">
        <v>0</v>
      </c>
      <c r="G210">
        <v>0.15</v>
      </c>
      <c r="H210" t="b">
        <v>0</v>
      </c>
      <c r="I210" s="110" t="s">
        <v>418</v>
      </c>
      <c r="J210" s="9"/>
      <c r="L210">
        <v>5000</v>
      </c>
      <c r="M210" t="b">
        <v>1</v>
      </c>
      <c r="N210">
        <f>OptionsTable[[#This Row],[Cost]]</f>
        <v>5000</v>
      </c>
      <c r="O210">
        <v>1</v>
      </c>
    </row>
    <row r="211" spans="2:15" x14ac:dyDescent="0.35">
      <c r="B211" t="s">
        <v>248</v>
      </c>
      <c r="C211" t="s">
        <v>252</v>
      </c>
      <c r="D211" t="s">
        <v>2</v>
      </c>
      <c r="E211">
        <v>10</v>
      </c>
      <c r="F211">
        <v>0</v>
      </c>
      <c r="G211">
        <v>0.1</v>
      </c>
      <c r="H211" t="b">
        <v>0</v>
      </c>
      <c r="I211" s="110" t="s">
        <v>394</v>
      </c>
      <c r="J211" s="9"/>
      <c r="L211">
        <v>10000</v>
      </c>
      <c r="M211" t="b">
        <v>1</v>
      </c>
      <c r="N211">
        <f>OptionsTable[[#This Row],[Cost]]</f>
        <v>10000</v>
      </c>
      <c r="O211">
        <v>1</v>
      </c>
    </row>
    <row r="212" spans="2:15" x14ac:dyDescent="0.35">
      <c r="B212" t="s">
        <v>248</v>
      </c>
      <c r="C212" t="s">
        <v>253</v>
      </c>
      <c r="D212" t="s">
        <v>3</v>
      </c>
      <c r="E212">
        <v>12</v>
      </c>
      <c r="F212">
        <v>0</v>
      </c>
      <c r="G212">
        <v>0.05</v>
      </c>
      <c r="H212" t="b">
        <v>0</v>
      </c>
      <c r="I212" s="110" t="s">
        <v>393</v>
      </c>
      <c r="J212" s="9"/>
      <c r="L212">
        <v>20000</v>
      </c>
      <c r="M212" t="b">
        <v>1</v>
      </c>
      <c r="N212">
        <f>OptionsTable[[#This Row],[Cost]]</f>
        <v>20000</v>
      </c>
      <c r="O212">
        <v>1</v>
      </c>
    </row>
    <row r="213" spans="2:15" x14ac:dyDescent="0.35">
      <c r="B213" t="s">
        <v>254</v>
      </c>
      <c r="C213" t="s">
        <v>204</v>
      </c>
      <c r="D213" t="s">
        <v>0</v>
      </c>
      <c r="E213">
        <v>8</v>
      </c>
      <c r="F213">
        <v>6</v>
      </c>
      <c r="G213">
        <v>0</v>
      </c>
      <c r="H213" t="b">
        <v>0</v>
      </c>
      <c r="I213" s="110" t="s">
        <v>389</v>
      </c>
      <c r="L213">
        <v>1000</v>
      </c>
      <c r="M213" t="b">
        <v>0</v>
      </c>
      <c r="N213">
        <f>OptionsTable[[#This Row],[Cost]]</f>
        <v>1000</v>
      </c>
      <c r="O213">
        <v>1</v>
      </c>
    </row>
    <row r="214" spans="2:15" x14ac:dyDescent="0.35">
      <c r="B214" t="s">
        <v>254</v>
      </c>
      <c r="C214" t="s">
        <v>205</v>
      </c>
      <c r="D214" t="s">
        <v>1</v>
      </c>
      <c r="E214">
        <v>10</v>
      </c>
      <c r="F214">
        <v>5</v>
      </c>
      <c r="G214">
        <v>0</v>
      </c>
      <c r="H214" t="b">
        <v>0</v>
      </c>
      <c r="I214" s="110" t="s">
        <v>390</v>
      </c>
      <c r="L214">
        <v>2000</v>
      </c>
      <c r="M214" t="b">
        <v>0</v>
      </c>
      <c r="N214">
        <f>OptionsTable[[#This Row],[Cost]]</f>
        <v>2000</v>
      </c>
      <c r="O214">
        <v>1</v>
      </c>
    </row>
    <row r="215" spans="2:15" x14ac:dyDescent="0.35">
      <c r="B215" t="s">
        <v>254</v>
      </c>
      <c r="C215" t="s">
        <v>206</v>
      </c>
      <c r="D215" t="s">
        <v>2</v>
      </c>
      <c r="E215">
        <v>12</v>
      </c>
      <c r="F215">
        <v>5</v>
      </c>
      <c r="G215">
        <v>0</v>
      </c>
      <c r="H215" t="b">
        <v>0</v>
      </c>
      <c r="I215" s="110" t="s">
        <v>391</v>
      </c>
      <c r="L215">
        <v>4000</v>
      </c>
      <c r="M215" t="b">
        <v>0</v>
      </c>
      <c r="N215">
        <f>OptionsTable[[#This Row],[Cost]]</f>
        <v>4000</v>
      </c>
      <c r="O215">
        <v>1</v>
      </c>
    </row>
    <row r="216" spans="2:15" x14ac:dyDescent="0.35">
      <c r="B216" t="s">
        <v>254</v>
      </c>
      <c r="C216" t="s">
        <v>207</v>
      </c>
      <c r="D216" t="s">
        <v>3</v>
      </c>
      <c r="E216">
        <v>14</v>
      </c>
      <c r="F216">
        <v>4</v>
      </c>
      <c r="G216">
        <v>0</v>
      </c>
      <c r="H216" t="b">
        <v>0</v>
      </c>
      <c r="I216" s="110" t="s">
        <v>392</v>
      </c>
      <c r="L216">
        <v>10000</v>
      </c>
      <c r="M216" t="b">
        <v>0</v>
      </c>
      <c r="N216">
        <f>OptionsTable[[#This Row],[Cost]]</f>
        <v>10000</v>
      </c>
      <c r="O216">
        <v>1</v>
      </c>
    </row>
    <row r="217" spans="2:15" x14ac:dyDescent="0.35">
      <c r="B217" t="s">
        <v>270</v>
      </c>
      <c r="C217" t="s">
        <v>275</v>
      </c>
      <c r="D217" t="s">
        <v>0</v>
      </c>
      <c r="E217">
        <v>7</v>
      </c>
      <c r="F217">
        <v>1</v>
      </c>
      <c r="G217">
        <v>0</v>
      </c>
      <c r="H217" t="b">
        <v>0</v>
      </c>
      <c r="I217" s="110" t="s">
        <v>538</v>
      </c>
      <c r="J217" s="110" t="s">
        <v>538</v>
      </c>
      <c r="L217">
        <v>300</v>
      </c>
      <c r="M217" t="b">
        <v>1</v>
      </c>
      <c r="N217">
        <f>OptionsTable[[#This Row],[Cost]]</f>
        <v>300</v>
      </c>
      <c r="O217">
        <v>1</v>
      </c>
    </row>
    <row r="218" spans="2:15" x14ac:dyDescent="0.35">
      <c r="B218" t="s">
        <v>270</v>
      </c>
      <c r="C218" t="s">
        <v>276</v>
      </c>
      <c r="D218" t="s">
        <v>1</v>
      </c>
      <c r="E218">
        <v>9</v>
      </c>
      <c r="F218">
        <v>2</v>
      </c>
      <c r="G218">
        <v>0</v>
      </c>
      <c r="H218" t="b">
        <v>0</v>
      </c>
      <c r="I218" s="110" t="s">
        <v>539</v>
      </c>
      <c r="J218" s="110" t="s">
        <v>539</v>
      </c>
      <c r="L218">
        <v>600</v>
      </c>
      <c r="M218" t="b">
        <v>1</v>
      </c>
      <c r="N218">
        <f>OptionsTable[[#This Row],[Cost]]</f>
        <v>600</v>
      </c>
      <c r="O218">
        <v>1</v>
      </c>
    </row>
    <row r="219" spans="2:15" x14ac:dyDescent="0.35">
      <c r="B219" t="s">
        <v>270</v>
      </c>
      <c r="C219" t="s">
        <v>277</v>
      </c>
      <c r="D219" t="s">
        <v>2</v>
      </c>
      <c r="E219">
        <v>11</v>
      </c>
      <c r="F219">
        <v>3</v>
      </c>
      <c r="G219">
        <v>0</v>
      </c>
      <c r="H219" t="b">
        <v>0</v>
      </c>
      <c r="I219" s="110" t="s">
        <v>540</v>
      </c>
      <c r="J219" s="110" t="s">
        <v>540</v>
      </c>
      <c r="L219">
        <v>900</v>
      </c>
      <c r="M219" t="b">
        <v>1</v>
      </c>
      <c r="N219">
        <f>OptionsTable[[#This Row],[Cost]]</f>
        <v>900</v>
      </c>
      <c r="O219">
        <v>1</v>
      </c>
    </row>
    <row r="220" spans="2:15" x14ac:dyDescent="0.35">
      <c r="B220" t="s">
        <v>270</v>
      </c>
      <c r="C220" t="s">
        <v>278</v>
      </c>
      <c r="D220" t="s">
        <v>3</v>
      </c>
      <c r="E220">
        <v>13</v>
      </c>
      <c r="F220">
        <v>3</v>
      </c>
      <c r="G220">
        <v>0</v>
      </c>
      <c r="H220" t="b">
        <v>0</v>
      </c>
      <c r="I220" s="110" t="s">
        <v>541</v>
      </c>
      <c r="J220" s="110" t="s">
        <v>541</v>
      </c>
      <c r="L220">
        <v>1200</v>
      </c>
      <c r="M220" t="b">
        <v>1</v>
      </c>
      <c r="N220">
        <f>OptionsTable[[#This Row],[Cost]]</f>
        <v>1200</v>
      </c>
      <c r="O220">
        <v>1</v>
      </c>
    </row>
    <row r="221" spans="2:15" x14ac:dyDescent="0.35">
      <c r="B221" t="s">
        <v>270</v>
      </c>
      <c r="C221" t="s">
        <v>471</v>
      </c>
      <c r="D221" t="s">
        <v>0</v>
      </c>
      <c r="E221">
        <v>6</v>
      </c>
      <c r="F221">
        <v>1</v>
      </c>
      <c r="G221">
        <v>0</v>
      </c>
      <c r="H221" t="b">
        <v>0</v>
      </c>
      <c r="I221" s="110" t="s">
        <v>400</v>
      </c>
      <c r="L221">
        <v>50</v>
      </c>
      <c r="M221" t="b">
        <v>0</v>
      </c>
      <c r="N221">
        <f>OptionsTable[[#This Row],[Cost]]</f>
        <v>50</v>
      </c>
      <c r="O221">
        <v>1</v>
      </c>
    </row>
    <row r="222" spans="2:15" x14ac:dyDescent="0.35">
      <c r="B222" t="s">
        <v>270</v>
      </c>
      <c r="C222" t="s">
        <v>190</v>
      </c>
      <c r="D222" t="s">
        <v>1</v>
      </c>
      <c r="E222">
        <v>6</v>
      </c>
      <c r="F222">
        <v>1</v>
      </c>
      <c r="G222">
        <v>0</v>
      </c>
      <c r="H222" t="b">
        <v>0</v>
      </c>
      <c r="I222" s="110" t="s">
        <v>400</v>
      </c>
      <c r="L222">
        <v>100</v>
      </c>
      <c r="M222" t="b">
        <v>0</v>
      </c>
      <c r="N222">
        <f>OptionsTable[[#This Row],[Cost]]</f>
        <v>100</v>
      </c>
      <c r="O222">
        <v>1</v>
      </c>
    </row>
    <row r="223" spans="2:15" x14ac:dyDescent="0.35">
      <c r="B223" t="s">
        <v>270</v>
      </c>
      <c r="C223" t="s">
        <v>437</v>
      </c>
      <c r="D223" t="s">
        <v>3</v>
      </c>
      <c r="E223">
        <v>6</v>
      </c>
      <c r="F223">
        <v>1</v>
      </c>
      <c r="G223">
        <v>0</v>
      </c>
      <c r="H223" t="b">
        <v>0</v>
      </c>
      <c r="I223" s="110" t="s">
        <v>400</v>
      </c>
      <c r="L223">
        <v>500</v>
      </c>
      <c r="M223" t="b">
        <v>0</v>
      </c>
      <c r="N223">
        <f>OptionsTable[[#This Row],[Cost]]</f>
        <v>500</v>
      </c>
      <c r="O223">
        <v>1</v>
      </c>
    </row>
    <row r="224" spans="2:15" x14ac:dyDescent="0.35">
      <c r="B224" t="s">
        <v>254</v>
      </c>
      <c r="C224" t="s">
        <v>723</v>
      </c>
      <c r="E224">
        <v>6</v>
      </c>
      <c r="F224">
        <v>3</v>
      </c>
      <c r="G224">
        <v>0</v>
      </c>
      <c r="H224" t="b">
        <v>0</v>
      </c>
      <c r="I224" s="110" t="s">
        <v>724</v>
      </c>
      <c r="J224" s="9"/>
      <c r="L224">
        <v>2000</v>
      </c>
      <c r="M224" t="b">
        <v>0</v>
      </c>
      <c r="N224">
        <f>OptionsTable[[#This Row],[Cost]]</f>
        <v>2000</v>
      </c>
    </row>
    <row r="225" spans="2:15" x14ac:dyDescent="0.35">
      <c r="B225" t="s">
        <v>224</v>
      </c>
      <c r="C225" t="s">
        <v>690</v>
      </c>
      <c r="D225" t="s">
        <v>0</v>
      </c>
      <c r="E225">
        <v>4</v>
      </c>
      <c r="F225">
        <v>0</v>
      </c>
      <c r="G225">
        <v>0.05</v>
      </c>
      <c r="H225" t="b">
        <v>0</v>
      </c>
      <c r="I225" s="110" t="s">
        <v>631</v>
      </c>
      <c r="J225" s="9"/>
      <c r="L225">
        <v>200</v>
      </c>
      <c r="M225" t="b">
        <v>1</v>
      </c>
      <c r="N225">
        <f>OptionsTable[[#This Row],[Cost]]</f>
        <v>200</v>
      </c>
      <c r="O225">
        <v>1</v>
      </c>
    </row>
    <row r="226" spans="2:15" x14ac:dyDescent="0.35">
      <c r="B226" t="s">
        <v>224</v>
      </c>
      <c r="C226" t="s">
        <v>691</v>
      </c>
      <c r="D226" t="s">
        <v>1</v>
      </c>
      <c r="E226">
        <v>6</v>
      </c>
      <c r="F226">
        <v>0</v>
      </c>
      <c r="G226">
        <v>0.02</v>
      </c>
      <c r="H226" t="b">
        <v>0</v>
      </c>
      <c r="I226" s="110" t="s">
        <v>632</v>
      </c>
      <c r="J226" s="9"/>
      <c r="L226">
        <v>400</v>
      </c>
      <c r="M226" t="b">
        <v>1</v>
      </c>
      <c r="N226">
        <f>OptionsTable[[#This Row],[Cost]]</f>
        <v>400</v>
      </c>
      <c r="O226">
        <v>1</v>
      </c>
    </row>
    <row r="227" spans="2:15" x14ac:dyDescent="0.35">
      <c r="B227" t="s">
        <v>224</v>
      </c>
      <c r="C227" t="s">
        <v>692</v>
      </c>
      <c r="D227" t="s">
        <v>2</v>
      </c>
      <c r="E227">
        <v>9</v>
      </c>
      <c r="F227">
        <v>0</v>
      </c>
      <c r="G227">
        <v>0.02</v>
      </c>
      <c r="H227" t="b">
        <v>0</v>
      </c>
      <c r="I227" s="110" t="s">
        <v>633</v>
      </c>
      <c r="J227" s="9"/>
      <c r="L227">
        <v>800</v>
      </c>
      <c r="M227" t="b">
        <v>1</v>
      </c>
      <c r="N227">
        <f>OptionsTable[[#This Row],[Cost]]</f>
        <v>800</v>
      </c>
      <c r="O227">
        <v>1</v>
      </c>
    </row>
    <row r="228" spans="2:15" x14ac:dyDescent="0.35">
      <c r="B228" t="s">
        <v>224</v>
      </c>
      <c r="C228" t="s">
        <v>693</v>
      </c>
      <c r="D228" t="s">
        <v>3</v>
      </c>
      <c r="E228">
        <v>12</v>
      </c>
      <c r="F228">
        <v>0</v>
      </c>
      <c r="G228">
        <v>0.02</v>
      </c>
      <c r="H228" t="b">
        <v>0</v>
      </c>
      <c r="I228" s="110" t="s">
        <v>634</v>
      </c>
      <c r="J228" s="9"/>
      <c r="L228">
        <v>1000</v>
      </c>
      <c r="M228" t="b">
        <v>1</v>
      </c>
      <c r="N228">
        <f>OptionsTable[[#This Row],[Cost]]</f>
        <v>1000</v>
      </c>
      <c r="O228">
        <v>1</v>
      </c>
    </row>
    <row r="229" spans="2:15" x14ac:dyDescent="0.35">
      <c r="B229" t="s">
        <v>224</v>
      </c>
      <c r="C229" t="s">
        <v>694</v>
      </c>
      <c r="D229" t="s">
        <v>96</v>
      </c>
      <c r="E229">
        <v>15</v>
      </c>
      <c r="F229">
        <v>0</v>
      </c>
      <c r="G229">
        <v>0.02</v>
      </c>
      <c r="H229" t="b">
        <v>0</v>
      </c>
      <c r="I229" s="110" t="s">
        <v>635</v>
      </c>
      <c r="J229" s="9"/>
      <c r="L229">
        <v>2000</v>
      </c>
      <c r="M229" t="b">
        <v>1</v>
      </c>
      <c r="N229">
        <f>OptionsTable[[#This Row],[Cost]]</f>
        <v>2000</v>
      </c>
      <c r="O229">
        <v>1</v>
      </c>
    </row>
    <row r="230" spans="2:15" x14ac:dyDescent="0.35">
      <c r="B230" t="s">
        <v>40</v>
      </c>
      <c r="C230" t="s">
        <v>244</v>
      </c>
      <c r="D230" t="s">
        <v>0</v>
      </c>
      <c r="E230">
        <v>8</v>
      </c>
      <c r="F230">
        <v>3</v>
      </c>
      <c r="G230">
        <v>0</v>
      </c>
      <c r="H230" t="b">
        <v>0</v>
      </c>
      <c r="I230" s="110" t="s">
        <v>385</v>
      </c>
      <c r="J230" s="9"/>
      <c r="L230">
        <v>10000</v>
      </c>
      <c r="M230" t="b">
        <v>0</v>
      </c>
      <c r="N230">
        <f>OptionsTable[[#This Row],[Cost]]</f>
        <v>10000</v>
      </c>
      <c r="O230">
        <v>1</v>
      </c>
    </row>
    <row r="231" spans="2:15" x14ac:dyDescent="0.35">
      <c r="B231" t="s">
        <v>40</v>
      </c>
      <c r="C231" t="s">
        <v>245</v>
      </c>
      <c r="D231" t="s">
        <v>1</v>
      </c>
      <c r="E231">
        <v>10</v>
      </c>
      <c r="F231">
        <v>2</v>
      </c>
      <c r="G231">
        <v>0</v>
      </c>
      <c r="H231" t="b">
        <v>0</v>
      </c>
      <c r="I231" s="110" t="s">
        <v>386</v>
      </c>
      <c r="J231" s="9"/>
      <c r="L231">
        <v>20000</v>
      </c>
      <c r="M231" t="b">
        <v>0</v>
      </c>
      <c r="N231">
        <f>OptionsTable[[#This Row],[Cost]]</f>
        <v>20000</v>
      </c>
      <c r="O231">
        <v>1</v>
      </c>
    </row>
    <row r="232" spans="2:15" x14ac:dyDescent="0.35">
      <c r="B232" t="s">
        <v>40</v>
      </c>
      <c r="C232" t="s">
        <v>246</v>
      </c>
      <c r="D232" t="s">
        <v>2</v>
      </c>
      <c r="E232">
        <v>12</v>
      </c>
      <c r="F232">
        <v>1</v>
      </c>
      <c r="G232">
        <v>0</v>
      </c>
      <c r="H232" t="b">
        <v>0</v>
      </c>
      <c r="I232" s="110" t="s">
        <v>387</v>
      </c>
      <c r="J232" s="9"/>
      <c r="L232">
        <v>50000</v>
      </c>
      <c r="M232" t="b">
        <v>0</v>
      </c>
      <c r="N232">
        <f>OptionsTable[[#This Row],[Cost]]</f>
        <v>50000</v>
      </c>
      <c r="O232">
        <v>1</v>
      </c>
    </row>
    <row r="233" spans="2:15" x14ac:dyDescent="0.35">
      <c r="B233" t="s">
        <v>40</v>
      </c>
      <c r="C233" t="s">
        <v>247</v>
      </c>
      <c r="D233" t="s">
        <v>3</v>
      </c>
      <c r="E233">
        <v>14</v>
      </c>
      <c r="F233">
        <v>1</v>
      </c>
      <c r="G233">
        <v>0</v>
      </c>
      <c r="H233" t="b">
        <v>0</v>
      </c>
      <c r="I233" s="110" t="s">
        <v>388</v>
      </c>
      <c r="J233" s="9"/>
      <c r="L233">
        <v>100000</v>
      </c>
      <c r="M233" t="b">
        <v>0</v>
      </c>
      <c r="N233">
        <f>OptionsTable[[#This Row],[Cost]]</f>
        <v>100000</v>
      </c>
      <c r="O233">
        <v>1</v>
      </c>
    </row>
    <row r="234" spans="2:15" x14ac:dyDescent="0.35">
      <c r="B234" t="s">
        <v>40</v>
      </c>
      <c r="C234" t="s">
        <v>234</v>
      </c>
      <c r="E234">
        <v>8</v>
      </c>
      <c r="F234">
        <v>1</v>
      </c>
      <c r="G234">
        <v>0</v>
      </c>
      <c r="H234" t="b">
        <v>0</v>
      </c>
      <c r="I234" s="110"/>
      <c r="J234" s="9"/>
      <c r="L234">
        <v>2000</v>
      </c>
      <c r="M234" t="b">
        <v>0</v>
      </c>
      <c r="N234">
        <f>OptionsTable[[#This Row],[Cost]]</f>
        <v>2000</v>
      </c>
      <c r="O234">
        <v>1</v>
      </c>
    </row>
    <row r="235" spans="2:15" x14ac:dyDescent="0.35">
      <c r="B235" t="s">
        <v>40</v>
      </c>
      <c r="C235" t="s">
        <v>480</v>
      </c>
      <c r="D235" t="s">
        <v>0</v>
      </c>
      <c r="E235">
        <v>7</v>
      </c>
      <c r="F235">
        <v>1</v>
      </c>
      <c r="G235">
        <v>0</v>
      </c>
      <c r="H235" t="b">
        <v>0</v>
      </c>
      <c r="I235" s="110"/>
      <c r="J235" s="9"/>
      <c r="L235">
        <v>1000</v>
      </c>
      <c r="M235" t="b">
        <v>0</v>
      </c>
      <c r="N235">
        <f>OptionsTable[[#This Row],[Cost]]</f>
        <v>1000</v>
      </c>
      <c r="O235">
        <v>1</v>
      </c>
    </row>
    <row r="236" spans="2:15" x14ac:dyDescent="0.35">
      <c r="B236" t="s">
        <v>40</v>
      </c>
      <c r="C236" t="s">
        <v>481</v>
      </c>
      <c r="D236" t="s">
        <v>0</v>
      </c>
      <c r="E236">
        <v>7</v>
      </c>
      <c r="F236">
        <v>1</v>
      </c>
      <c r="G236">
        <v>0</v>
      </c>
      <c r="H236" t="b">
        <v>0</v>
      </c>
      <c r="I236" s="110"/>
      <c r="J236" s="9"/>
      <c r="L236">
        <v>2000</v>
      </c>
      <c r="M236" t="b">
        <v>0</v>
      </c>
      <c r="N236">
        <f>OptionsTable[[#This Row],[Cost]]</f>
        <v>2000</v>
      </c>
      <c r="O236">
        <v>1</v>
      </c>
    </row>
    <row r="237" spans="2:15" x14ac:dyDescent="0.35">
      <c r="B237" t="s">
        <v>40</v>
      </c>
      <c r="C237" t="s">
        <v>888</v>
      </c>
      <c r="D237" t="s">
        <v>0</v>
      </c>
      <c r="E237">
        <v>7</v>
      </c>
      <c r="F237">
        <v>2</v>
      </c>
      <c r="G237">
        <v>0</v>
      </c>
      <c r="H237" t="b">
        <v>0</v>
      </c>
      <c r="I237" s="110"/>
      <c r="J237" s="9"/>
      <c r="L237">
        <v>10000</v>
      </c>
      <c r="M237" t="b">
        <v>0</v>
      </c>
      <c r="N237">
        <f>OptionsTable[[#This Row],[Cost]]</f>
        <v>10000</v>
      </c>
      <c r="O237">
        <v>1</v>
      </c>
    </row>
    <row r="238" spans="2:15" x14ac:dyDescent="0.35">
      <c r="B238" t="s">
        <v>40</v>
      </c>
      <c r="C238" t="s">
        <v>889</v>
      </c>
      <c r="D238" t="s">
        <v>0</v>
      </c>
      <c r="E238">
        <v>8</v>
      </c>
      <c r="F238">
        <v>4</v>
      </c>
      <c r="G238">
        <v>0</v>
      </c>
      <c r="H238" t="b">
        <v>0</v>
      </c>
      <c r="I238" s="110"/>
      <c r="J238" s="9"/>
      <c r="L238">
        <v>20000</v>
      </c>
      <c r="M238" t="b">
        <v>0</v>
      </c>
      <c r="N238">
        <f>OptionsTable[[#This Row],[Cost]]</f>
        <v>20000</v>
      </c>
      <c r="O238">
        <v>1</v>
      </c>
    </row>
    <row r="239" spans="2:15" x14ac:dyDescent="0.35">
      <c r="B239" t="s">
        <v>40</v>
      </c>
      <c r="C239" t="s">
        <v>890</v>
      </c>
      <c r="D239" t="s">
        <v>1</v>
      </c>
      <c r="E239">
        <v>10</v>
      </c>
      <c r="F239">
        <v>2</v>
      </c>
      <c r="G239">
        <v>0</v>
      </c>
      <c r="H239" t="b">
        <v>0</v>
      </c>
      <c r="I239" s="110"/>
      <c r="J239" s="9"/>
      <c r="L239">
        <v>10000</v>
      </c>
      <c r="M239" t="b">
        <v>0</v>
      </c>
      <c r="N239">
        <f>OptionsTable[[#This Row],[Cost]]</f>
        <v>10000</v>
      </c>
      <c r="O239">
        <v>1</v>
      </c>
    </row>
    <row r="240" spans="2:15" x14ac:dyDescent="0.35">
      <c r="B240" t="s">
        <v>40</v>
      </c>
      <c r="C240" t="s">
        <v>891</v>
      </c>
      <c r="D240" t="s">
        <v>2</v>
      </c>
      <c r="E240">
        <v>12</v>
      </c>
      <c r="F240">
        <v>1</v>
      </c>
      <c r="G240">
        <v>0</v>
      </c>
      <c r="H240" t="b">
        <v>0</v>
      </c>
      <c r="I240" s="110"/>
      <c r="J240" s="9"/>
      <c r="L240">
        <v>5000</v>
      </c>
      <c r="M240" t="b">
        <v>0</v>
      </c>
      <c r="N240">
        <f>OptionsTable[[#This Row],[Cost]]</f>
        <v>5000</v>
      </c>
      <c r="O240">
        <v>1</v>
      </c>
    </row>
    <row r="241" spans="2:15" x14ac:dyDescent="0.35">
      <c r="B241" t="s">
        <v>40</v>
      </c>
      <c r="C241" t="s">
        <v>892</v>
      </c>
      <c r="D241" t="s">
        <v>3</v>
      </c>
      <c r="E241">
        <v>15</v>
      </c>
      <c r="F241">
        <v>1</v>
      </c>
      <c r="G241">
        <v>0</v>
      </c>
      <c r="H241" t="b">
        <v>0</v>
      </c>
      <c r="I241" s="110"/>
      <c r="J241" s="9"/>
      <c r="L241">
        <v>2500</v>
      </c>
      <c r="M241" t="b">
        <v>0</v>
      </c>
      <c r="N241">
        <f>OptionsTable[[#This Row],[Cost]]</f>
        <v>2500</v>
      </c>
      <c r="O241">
        <v>1</v>
      </c>
    </row>
    <row r="242" spans="2:15" x14ac:dyDescent="0.35">
      <c r="B242" t="s">
        <v>40</v>
      </c>
      <c r="C242" t="s">
        <v>893</v>
      </c>
      <c r="D242" t="s">
        <v>0</v>
      </c>
      <c r="E242">
        <v>9</v>
      </c>
      <c r="F242">
        <v>8</v>
      </c>
      <c r="G242">
        <v>0</v>
      </c>
      <c r="H242" t="b">
        <v>0</v>
      </c>
      <c r="I242" s="110"/>
      <c r="J242" s="9"/>
      <c r="L242">
        <v>50000</v>
      </c>
      <c r="M242" t="b">
        <v>0</v>
      </c>
      <c r="N242">
        <f>OptionsTable[[#This Row],[Cost]]</f>
        <v>50000</v>
      </c>
      <c r="O242">
        <v>1</v>
      </c>
    </row>
    <row r="243" spans="2:15" x14ac:dyDescent="0.35">
      <c r="B243" t="s">
        <v>40</v>
      </c>
      <c r="C243" t="s">
        <v>894</v>
      </c>
      <c r="D243" t="s">
        <v>1</v>
      </c>
      <c r="E243">
        <v>11</v>
      </c>
      <c r="F243">
        <v>4</v>
      </c>
      <c r="G243">
        <v>0</v>
      </c>
      <c r="H243" t="b">
        <v>0</v>
      </c>
      <c r="I243" s="110"/>
      <c r="J243" s="9"/>
      <c r="L243">
        <v>25000</v>
      </c>
      <c r="M243" t="b">
        <v>0</v>
      </c>
      <c r="N243">
        <f>OptionsTable[[#This Row],[Cost]]</f>
        <v>25000</v>
      </c>
      <c r="O243">
        <v>1</v>
      </c>
    </row>
    <row r="244" spans="2:15" x14ac:dyDescent="0.35">
      <c r="B244" t="s">
        <v>40</v>
      </c>
      <c r="C244" t="s">
        <v>895</v>
      </c>
      <c r="D244" t="s">
        <v>2</v>
      </c>
      <c r="E244">
        <v>13</v>
      </c>
      <c r="F244">
        <v>2</v>
      </c>
      <c r="G244">
        <v>0</v>
      </c>
      <c r="H244" t="b">
        <v>0</v>
      </c>
      <c r="I244" s="110"/>
      <c r="J244" s="9"/>
      <c r="L244">
        <v>10000</v>
      </c>
      <c r="M244" t="b">
        <v>0</v>
      </c>
      <c r="N244">
        <f>OptionsTable[[#This Row],[Cost]]</f>
        <v>10000</v>
      </c>
      <c r="O244">
        <v>1</v>
      </c>
    </row>
    <row r="245" spans="2:15" x14ac:dyDescent="0.35">
      <c r="B245" t="s">
        <v>40</v>
      </c>
      <c r="C245" t="s">
        <v>896</v>
      </c>
      <c r="D245" t="s">
        <v>3</v>
      </c>
      <c r="E245">
        <v>16</v>
      </c>
      <c r="F245">
        <v>1</v>
      </c>
      <c r="G245">
        <v>0</v>
      </c>
      <c r="H245" t="b">
        <v>0</v>
      </c>
      <c r="I245" s="110"/>
      <c r="J245" s="9"/>
      <c r="L245">
        <v>5000</v>
      </c>
      <c r="M245" t="b">
        <v>0</v>
      </c>
      <c r="N245">
        <f>OptionsTable[[#This Row],[Cost]]</f>
        <v>5000</v>
      </c>
      <c r="O245">
        <v>1</v>
      </c>
    </row>
    <row r="246" spans="2:15" x14ac:dyDescent="0.35">
      <c r="B246" t="s">
        <v>270</v>
      </c>
      <c r="C246" t="s">
        <v>636</v>
      </c>
      <c r="E246">
        <v>7</v>
      </c>
      <c r="F246">
        <v>1</v>
      </c>
      <c r="G246">
        <v>0</v>
      </c>
      <c r="H246" t="b">
        <v>1</v>
      </c>
      <c r="I246" s="110"/>
      <c r="J246" s="9"/>
      <c r="L246">
        <v>500</v>
      </c>
      <c r="M246" t="b">
        <v>0</v>
      </c>
      <c r="N246">
        <f>OptionsTable[[#This Row],[Cost]]</f>
        <v>500</v>
      </c>
      <c r="O246">
        <v>1</v>
      </c>
    </row>
    <row r="247" spans="2:15" x14ac:dyDescent="0.35">
      <c r="B247" t="s">
        <v>229</v>
      </c>
      <c r="C247" t="s">
        <v>455</v>
      </c>
      <c r="E247">
        <v>5</v>
      </c>
      <c r="F247">
        <v>1</v>
      </c>
      <c r="G247">
        <v>0</v>
      </c>
      <c r="H247" t="b">
        <v>0</v>
      </c>
      <c r="I247" s="110" t="s">
        <v>419</v>
      </c>
      <c r="K247" t="s">
        <v>360</v>
      </c>
      <c r="L247">
        <v>500</v>
      </c>
      <c r="M247" t="b">
        <v>0</v>
      </c>
      <c r="N247">
        <f>OptionsTable[[#This Row],[Cost]]</f>
        <v>500</v>
      </c>
      <c r="O247">
        <v>1</v>
      </c>
    </row>
    <row r="248" spans="2:15" x14ac:dyDescent="0.35">
      <c r="B248" t="s">
        <v>229</v>
      </c>
      <c r="C248" t="s">
        <v>456</v>
      </c>
      <c r="E248">
        <v>5</v>
      </c>
      <c r="F248">
        <v>2</v>
      </c>
      <c r="G248">
        <v>0</v>
      </c>
      <c r="H248" t="b">
        <v>0</v>
      </c>
      <c r="I248" s="110" t="s">
        <v>420</v>
      </c>
      <c r="K248" t="s">
        <v>360</v>
      </c>
      <c r="L248">
        <v>1000</v>
      </c>
      <c r="M248" t="b">
        <v>0</v>
      </c>
      <c r="N248">
        <f>OptionsTable[[#This Row],[Cost]]</f>
        <v>1000</v>
      </c>
      <c r="O248">
        <v>1</v>
      </c>
    </row>
    <row r="249" spans="2:15" x14ac:dyDescent="0.35">
      <c r="B249" t="s">
        <v>229</v>
      </c>
      <c r="C249" t="s">
        <v>457</v>
      </c>
      <c r="E249">
        <v>5</v>
      </c>
      <c r="F249">
        <v>10</v>
      </c>
      <c r="G249">
        <v>0</v>
      </c>
      <c r="H249" t="b">
        <v>0</v>
      </c>
      <c r="I249" s="110" t="s">
        <v>421</v>
      </c>
      <c r="K249" t="s">
        <v>520</v>
      </c>
      <c r="L249">
        <v>5000</v>
      </c>
      <c r="M249" t="b">
        <v>0</v>
      </c>
      <c r="N249">
        <f>OptionsTable[[#This Row],[Cost]]</f>
        <v>5000</v>
      </c>
      <c r="O249">
        <v>1</v>
      </c>
    </row>
    <row r="250" spans="2:15" x14ac:dyDescent="0.35">
      <c r="B250" t="s">
        <v>229</v>
      </c>
      <c r="C250" t="s">
        <v>458</v>
      </c>
      <c r="E250">
        <v>5</v>
      </c>
      <c r="F250">
        <v>15</v>
      </c>
      <c r="G250">
        <v>0</v>
      </c>
      <c r="H250" t="b">
        <v>0</v>
      </c>
      <c r="I250" s="110" t="s">
        <v>399</v>
      </c>
      <c r="K250" t="s">
        <v>519</v>
      </c>
      <c r="L250">
        <v>10000</v>
      </c>
      <c r="M250" t="b">
        <v>0</v>
      </c>
      <c r="N250">
        <f>OptionsTable[[#This Row],[Cost]]</f>
        <v>10000</v>
      </c>
      <c r="O250">
        <v>1</v>
      </c>
    </row>
    <row r="251" spans="2:15" x14ac:dyDescent="0.35">
      <c r="B251" t="s">
        <v>229</v>
      </c>
      <c r="C251" t="s">
        <v>459</v>
      </c>
      <c r="E251">
        <v>5</v>
      </c>
      <c r="F251">
        <v>1</v>
      </c>
      <c r="G251">
        <v>0</v>
      </c>
      <c r="H251" t="b">
        <v>0</v>
      </c>
      <c r="I251" s="110"/>
      <c r="M251" t="b">
        <v>0</v>
      </c>
      <c r="O251">
        <v>1</v>
      </c>
    </row>
    <row r="252" spans="2:15" x14ac:dyDescent="0.35">
      <c r="B252" t="s">
        <v>229</v>
      </c>
      <c r="C252" t="s">
        <v>460</v>
      </c>
      <c r="E252">
        <v>5</v>
      </c>
      <c r="F252">
        <v>2</v>
      </c>
      <c r="G252">
        <v>0</v>
      </c>
      <c r="H252" t="b">
        <v>0</v>
      </c>
      <c r="I252" s="110"/>
      <c r="M252" t="b">
        <v>0</v>
      </c>
      <c r="O252">
        <v>1</v>
      </c>
    </row>
    <row r="253" spans="2:15" x14ac:dyDescent="0.35">
      <c r="B253" t="s">
        <v>229</v>
      </c>
      <c r="C253" t="s">
        <v>461</v>
      </c>
      <c r="E253">
        <v>5</v>
      </c>
      <c r="F253">
        <v>10</v>
      </c>
      <c r="G253">
        <v>0</v>
      </c>
      <c r="H253" t="b">
        <v>0</v>
      </c>
      <c r="I253" s="110"/>
      <c r="M253" t="b">
        <v>0</v>
      </c>
      <c r="O253">
        <v>1</v>
      </c>
    </row>
    <row r="254" spans="2:15" x14ac:dyDescent="0.35">
      <c r="B254" t="s">
        <v>229</v>
      </c>
      <c r="C254" t="s">
        <v>462</v>
      </c>
      <c r="E254">
        <v>5</v>
      </c>
      <c r="F254">
        <v>15</v>
      </c>
      <c r="G254">
        <v>0</v>
      </c>
      <c r="H254" t="b">
        <v>0</v>
      </c>
      <c r="I254" s="110"/>
      <c r="M254" t="b">
        <v>0</v>
      </c>
      <c r="O254">
        <v>1</v>
      </c>
    </row>
    <row r="255" spans="2:15" x14ac:dyDescent="0.35">
      <c r="B255" t="s">
        <v>401</v>
      </c>
      <c r="C255" t="s">
        <v>542</v>
      </c>
      <c r="F255">
        <v>1</v>
      </c>
      <c r="G255">
        <v>0</v>
      </c>
      <c r="H255" t="b">
        <v>0</v>
      </c>
      <c r="I255" s="110"/>
      <c r="J255" s="9"/>
      <c r="M255" t="b">
        <v>0</v>
      </c>
      <c r="O255">
        <v>1.5</v>
      </c>
    </row>
    <row r="256" spans="2:15" x14ac:dyDescent="0.35">
      <c r="B256" t="s">
        <v>44</v>
      </c>
      <c r="C256" t="s">
        <v>359</v>
      </c>
      <c r="G256">
        <v>0</v>
      </c>
      <c r="I256" s="110"/>
      <c r="K256" t="s">
        <v>91</v>
      </c>
      <c r="O256">
        <v>2</v>
      </c>
    </row>
  </sheetData>
  <phoneticPr fontId="2"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3CEEA-026D-415B-81BF-03A60648E7D9}">
  <sheetPr>
    <tabColor rgb="FFFFC000"/>
  </sheetPr>
  <dimension ref="B1:G82"/>
  <sheetViews>
    <sheetView topLeftCell="A39" workbookViewId="0">
      <selection activeCell="L64" sqref="L64"/>
    </sheetView>
  </sheetViews>
  <sheetFormatPr defaultRowHeight="11.65" x14ac:dyDescent="0.35"/>
  <cols>
    <col min="1" max="1" width="2.75" customWidth="1"/>
    <col min="2" max="2" width="28.83203125" bestFit="1" customWidth="1"/>
    <col min="3" max="3" width="5.4140625" customWidth="1"/>
    <col min="4" max="4" width="13.1640625" customWidth="1"/>
    <col min="5" max="5" width="15.83203125" bestFit="1" customWidth="1"/>
    <col min="6" max="6" width="43" bestFit="1" customWidth="1"/>
    <col min="7" max="7" width="9.1640625" customWidth="1"/>
    <col min="8" max="8" width="2.75" customWidth="1"/>
    <col min="9" max="9" width="2.83203125" bestFit="1" customWidth="1"/>
    <col min="10" max="10" width="10.58203125" bestFit="1" customWidth="1"/>
    <col min="11" max="11" width="48" bestFit="1" customWidth="1"/>
    <col min="13" max="13" width="2.75" customWidth="1"/>
    <col min="14" max="14" width="22.75" bestFit="1" customWidth="1"/>
    <col min="16" max="16" width="10.58203125" bestFit="1" customWidth="1"/>
    <col min="17" max="17" width="27.4140625" bestFit="1" customWidth="1"/>
  </cols>
  <sheetData>
    <row r="1" spans="2:7" x14ac:dyDescent="0.35">
      <c r="B1" t="s">
        <v>111</v>
      </c>
    </row>
    <row r="2" spans="2:7" x14ac:dyDescent="0.35">
      <c r="B2" t="s">
        <v>7</v>
      </c>
      <c r="C2" t="s">
        <v>4</v>
      </c>
      <c r="D2" t="s">
        <v>89</v>
      </c>
      <c r="E2" t="s">
        <v>151</v>
      </c>
      <c r="F2" t="s">
        <v>93</v>
      </c>
      <c r="G2" t="s">
        <v>15</v>
      </c>
    </row>
    <row r="3" spans="2:7" x14ac:dyDescent="0.35">
      <c r="B3" t="s">
        <v>117</v>
      </c>
    </row>
    <row r="4" spans="2:7" x14ac:dyDescent="0.35">
      <c r="B4" t="s">
        <v>472</v>
      </c>
      <c r="C4">
        <v>7</v>
      </c>
      <c r="D4">
        <v>0</v>
      </c>
      <c r="F4" t="s">
        <v>340</v>
      </c>
      <c r="G4">
        <v>0</v>
      </c>
    </row>
    <row r="5" spans="2:7" x14ac:dyDescent="0.35">
      <c r="B5" t="s">
        <v>473</v>
      </c>
      <c r="C5">
        <v>7</v>
      </c>
      <c r="D5">
        <v>0</v>
      </c>
      <c r="F5" t="s">
        <v>349</v>
      </c>
      <c r="G5">
        <v>0</v>
      </c>
    </row>
    <row r="6" spans="2:7" x14ac:dyDescent="0.35">
      <c r="B6" t="s">
        <v>515</v>
      </c>
      <c r="C6">
        <v>7</v>
      </c>
      <c r="D6">
        <v>0</v>
      </c>
      <c r="F6" t="s">
        <v>516</v>
      </c>
      <c r="G6">
        <v>0</v>
      </c>
    </row>
    <row r="7" spans="2:7" x14ac:dyDescent="0.35">
      <c r="B7" t="s">
        <v>477</v>
      </c>
      <c r="C7">
        <v>7</v>
      </c>
      <c r="D7">
        <v>0</v>
      </c>
      <c r="F7" t="s">
        <v>350</v>
      </c>
      <c r="G7">
        <v>0</v>
      </c>
    </row>
    <row r="9" spans="2:7" x14ac:dyDescent="0.35">
      <c r="B9" t="s">
        <v>112</v>
      </c>
    </row>
    <row r="10" spans="2:7" x14ac:dyDescent="0.35">
      <c r="B10" t="s">
        <v>7</v>
      </c>
      <c r="C10" t="s">
        <v>4</v>
      </c>
      <c r="D10" t="s">
        <v>89</v>
      </c>
      <c r="E10" t="s">
        <v>151</v>
      </c>
      <c r="F10" t="s">
        <v>93</v>
      </c>
      <c r="G10" t="s">
        <v>15</v>
      </c>
    </row>
    <row r="11" spans="2:7" x14ac:dyDescent="0.35">
      <c r="B11" t="s">
        <v>117</v>
      </c>
    </row>
    <row r="12" spans="2:7" x14ac:dyDescent="0.35">
      <c r="B12" t="s">
        <v>104</v>
      </c>
      <c r="C12">
        <v>8</v>
      </c>
      <c r="D12">
        <v>1</v>
      </c>
      <c r="F12" t="s">
        <v>351</v>
      </c>
      <c r="G12">
        <v>0</v>
      </c>
    </row>
    <row r="13" spans="2:7" x14ac:dyDescent="0.35">
      <c r="B13" t="s">
        <v>609</v>
      </c>
      <c r="C13">
        <v>8</v>
      </c>
      <c r="D13">
        <v>1</v>
      </c>
      <c r="F13" t="s">
        <v>610</v>
      </c>
      <c r="G13">
        <v>0</v>
      </c>
    </row>
    <row r="14" spans="2:7" x14ac:dyDescent="0.35">
      <c r="B14" t="s">
        <v>544</v>
      </c>
      <c r="C14">
        <v>8</v>
      </c>
      <c r="D14">
        <v>0</v>
      </c>
      <c r="F14" t="s">
        <v>359</v>
      </c>
      <c r="G14">
        <v>0</v>
      </c>
    </row>
    <row r="15" spans="2:7" x14ac:dyDescent="0.35">
      <c r="B15" t="s">
        <v>575</v>
      </c>
      <c r="C15">
        <v>8</v>
      </c>
      <c r="D15">
        <v>1</v>
      </c>
      <c r="F15" t="s">
        <v>577</v>
      </c>
      <c r="G15">
        <v>0</v>
      </c>
    </row>
    <row r="16" spans="2:7" x14ac:dyDescent="0.35">
      <c r="B16" t="s">
        <v>105</v>
      </c>
      <c r="C16">
        <v>8</v>
      </c>
      <c r="D16">
        <v>1</v>
      </c>
      <c r="F16" t="s">
        <v>352</v>
      </c>
      <c r="G16">
        <v>0</v>
      </c>
    </row>
    <row r="17" spans="2:7" x14ac:dyDescent="0.35">
      <c r="B17" t="s">
        <v>106</v>
      </c>
      <c r="C17">
        <v>8</v>
      </c>
      <c r="D17">
        <v>1</v>
      </c>
      <c r="F17" t="s">
        <v>353</v>
      </c>
      <c r="G17">
        <v>0</v>
      </c>
    </row>
    <row r="18" spans="2:7" x14ac:dyDescent="0.35">
      <c r="B18" t="s">
        <v>107</v>
      </c>
      <c r="C18">
        <v>8</v>
      </c>
      <c r="D18">
        <v>1</v>
      </c>
      <c r="F18" t="s">
        <v>354</v>
      </c>
      <c r="G18">
        <v>0</v>
      </c>
    </row>
    <row r="19" spans="2:7" x14ac:dyDescent="0.35">
      <c r="B19" t="s">
        <v>476</v>
      </c>
      <c r="C19">
        <v>8</v>
      </c>
      <c r="D19">
        <v>1</v>
      </c>
      <c r="F19" t="s">
        <v>576</v>
      </c>
      <c r="G19">
        <v>0</v>
      </c>
    </row>
    <row r="21" spans="2:7" x14ac:dyDescent="0.35">
      <c r="B21" t="s">
        <v>113</v>
      </c>
    </row>
    <row r="22" spans="2:7" x14ac:dyDescent="0.35">
      <c r="B22" t="s">
        <v>7</v>
      </c>
      <c r="C22" t="s">
        <v>4</v>
      </c>
      <c r="D22" t="s">
        <v>89</v>
      </c>
      <c r="E22" t="s">
        <v>151</v>
      </c>
      <c r="F22" t="s">
        <v>93</v>
      </c>
      <c r="G22" t="s">
        <v>15</v>
      </c>
    </row>
    <row r="23" spans="2:7" x14ac:dyDescent="0.35">
      <c r="B23" t="s">
        <v>117</v>
      </c>
    </row>
    <row r="24" spans="2:7" x14ac:dyDescent="0.35">
      <c r="B24" t="s">
        <v>109</v>
      </c>
      <c r="C24">
        <v>8</v>
      </c>
      <c r="D24">
        <v>1</v>
      </c>
      <c r="F24" t="s">
        <v>721</v>
      </c>
      <c r="G24">
        <v>0</v>
      </c>
    </row>
    <row r="25" spans="2:7" x14ac:dyDescent="0.35">
      <c r="B25" t="s">
        <v>110</v>
      </c>
      <c r="C25">
        <v>8</v>
      </c>
      <c r="D25">
        <v>1</v>
      </c>
      <c r="F25" t="s">
        <v>722</v>
      </c>
      <c r="G25">
        <v>10000</v>
      </c>
    </row>
    <row r="27" spans="2:7" x14ac:dyDescent="0.35">
      <c r="B27" t="s">
        <v>114</v>
      </c>
    </row>
    <row r="28" spans="2:7" x14ac:dyDescent="0.35">
      <c r="B28" t="s">
        <v>7</v>
      </c>
      <c r="C28" t="s">
        <v>4</v>
      </c>
      <c r="D28" t="s">
        <v>89</v>
      </c>
      <c r="E28" t="s">
        <v>151</v>
      </c>
      <c r="F28" t="s">
        <v>93</v>
      </c>
      <c r="G28" t="s">
        <v>15</v>
      </c>
    </row>
    <row r="29" spans="2:7" x14ac:dyDescent="0.35">
      <c r="B29" t="s">
        <v>117</v>
      </c>
      <c r="C29">
        <v>0</v>
      </c>
      <c r="E29" t="s">
        <v>91</v>
      </c>
    </row>
    <row r="30" spans="2:7" x14ac:dyDescent="0.35">
      <c r="B30" t="s">
        <v>115</v>
      </c>
      <c r="C30">
        <v>8</v>
      </c>
      <c r="D30">
        <v>0</v>
      </c>
      <c r="E30" t="s">
        <v>48</v>
      </c>
      <c r="F30" t="str">
        <f>StandardBrain[[#This Row],[Name]]</f>
        <v>Admin</v>
      </c>
      <c r="G30">
        <v>100</v>
      </c>
    </row>
    <row r="31" spans="2:7" x14ac:dyDescent="0.35">
      <c r="B31" t="s">
        <v>118</v>
      </c>
      <c r="C31">
        <v>10</v>
      </c>
      <c r="D31">
        <v>0</v>
      </c>
      <c r="E31" t="s">
        <v>48</v>
      </c>
      <c r="F31" t="str">
        <f>StandardBrain[[#This Row],[Name]]</f>
        <v>Advocate</v>
      </c>
      <c r="G31">
        <v>500</v>
      </c>
    </row>
    <row r="32" spans="2:7" x14ac:dyDescent="0.35">
      <c r="B32" t="s">
        <v>143</v>
      </c>
      <c r="C32">
        <v>9</v>
      </c>
      <c r="D32">
        <v>0</v>
      </c>
      <c r="E32" t="s">
        <v>47</v>
      </c>
      <c r="F32" t="s">
        <v>367</v>
      </c>
      <c r="G32">
        <v>200</v>
      </c>
    </row>
    <row r="33" spans="2:7" x14ac:dyDescent="0.35">
      <c r="B33" t="s">
        <v>120</v>
      </c>
      <c r="C33">
        <v>10</v>
      </c>
      <c r="D33">
        <v>0</v>
      </c>
      <c r="E33" t="s">
        <v>48</v>
      </c>
      <c r="F33" t="s">
        <v>362</v>
      </c>
      <c r="G33">
        <v>500</v>
      </c>
    </row>
    <row r="34" spans="2:7" x14ac:dyDescent="0.35">
      <c r="B34" t="s">
        <v>119</v>
      </c>
      <c r="C34">
        <v>12</v>
      </c>
      <c r="D34">
        <v>1</v>
      </c>
      <c r="E34" t="s">
        <v>48</v>
      </c>
      <c r="F34" t="str">
        <f>StandardBrain[[#This Row],[Name]]</f>
        <v>Astrogation</v>
      </c>
      <c r="G34">
        <v>500</v>
      </c>
    </row>
    <row r="35" spans="2:7" x14ac:dyDescent="0.35">
      <c r="B35" t="s">
        <v>208</v>
      </c>
      <c r="C35">
        <v>8</v>
      </c>
      <c r="D35">
        <v>0</v>
      </c>
      <c r="E35" t="s">
        <v>217</v>
      </c>
      <c r="F35" t="s">
        <v>366</v>
      </c>
      <c r="G35">
        <v>100</v>
      </c>
    </row>
    <row r="36" spans="2:7" x14ac:dyDescent="0.35">
      <c r="B36" t="s">
        <v>121</v>
      </c>
      <c r="C36">
        <v>10</v>
      </c>
      <c r="D36">
        <v>0</v>
      </c>
      <c r="E36" t="s">
        <v>48</v>
      </c>
      <c r="F36" t="str">
        <f>StandardBrain[[#This Row],[Name]]</f>
        <v>Broker</v>
      </c>
      <c r="G36">
        <v>200</v>
      </c>
    </row>
    <row r="37" spans="2:7" x14ac:dyDescent="0.35">
      <c r="B37" t="s">
        <v>122</v>
      </c>
      <c r="C37">
        <v>11</v>
      </c>
      <c r="D37">
        <v>1</v>
      </c>
      <c r="E37" t="s">
        <v>48</v>
      </c>
      <c r="F37" t="str">
        <f>StandardBrain[[#This Row],[Name]]</f>
        <v>Carouse</v>
      </c>
      <c r="G37">
        <v>500</v>
      </c>
    </row>
    <row r="38" spans="2:7" x14ac:dyDescent="0.35">
      <c r="B38" t="s">
        <v>779</v>
      </c>
      <c r="C38">
        <v>8</v>
      </c>
      <c r="D38">
        <v>1</v>
      </c>
      <c r="E38" t="s">
        <v>117</v>
      </c>
      <c r="F38" t="s">
        <v>780</v>
      </c>
      <c r="G38">
        <v>2000</v>
      </c>
    </row>
    <row r="39" spans="2:7" x14ac:dyDescent="0.35">
      <c r="B39" t="s">
        <v>781</v>
      </c>
      <c r="C39">
        <v>10</v>
      </c>
      <c r="D39">
        <v>2</v>
      </c>
      <c r="E39" t="s">
        <v>117</v>
      </c>
      <c r="F39" t="s">
        <v>782</v>
      </c>
      <c r="G39">
        <v>20000</v>
      </c>
    </row>
    <row r="40" spans="2:7" x14ac:dyDescent="0.35">
      <c r="B40" t="s">
        <v>783</v>
      </c>
      <c r="C40">
        <v>13</v>
      </c>
      <c r="D40">
        <v>3</v>
      </c>
      <c r="E40" t="s">
        <v>117</v>
      </c>
      <c r="F40" t="s">
        <v>784</v>
      </c>
      <c r="G40">
        <v>200000</v>
      </c>
    </row>
    <row r="41" spans="2:7" x14ac:dyDescent="0.35">
      <c r="B41" t="s">
        <v>123</v>
      </c>
      <c r="C41">
        <v>13</v>
      </c>
      <c r="D41">
        <v>1</v>
      </c>
      <c r="E41" t="s">
        <v>48</v>
      </c>
      <c r="F41" t="str">
        <f>StandardBrain[[#This Row],[Name]]</f>
        <v>Deception</v>
      </c>
      <c r="G41">
        <v>1000</v>
      </c>
    </row>
    <row r="42" spans="2:7" x14ac:dyDescent="0.35">
      <c r="B42" t="s">
        <v>124</v>
      </c>
      <c r="C42">
        <v>10</v>
      </c>
      <c r="D42">
        <v>1</v>
      </c>
      <c r="E42" t="s">
        <v>48</v>
      </c>
      <c r="F42" t="str">
        <f>StandardBrain[[#This Row],[Name]]</f>
        <v>Diplomat</v>
      </c>
      <c r="G42">
        <v>500</v>
      </c>
    </row>
    <row r="43" spans="2:7" x14ac:dyDescent="0.35">
      <c r="B43" t="s">
        <v>139</v>
      </c>
      <c r="C43">
        <v>8</v>
      </c>
      <c r="D43">
        <v>0</v>
      </c>
      <c r="E43" t="s">
        <v>47</v>
      </c>
      <c r="F43" t="s">
        <v>521</v>
      </c>
      <c r="G43">
        <v>100</v>
      </c>
    </row>
    <row r="44" spans="2:7" x14ac:dyDescent="0.35">
      <c r="B44" t="s">
        <v>785</v>
      </c>
      <c r="C44">
        <v>11</v>
      </c>
      <c r="D44">
        <v>1</v>
      </c>
      <c r="E44" t="s">
        <v>117</v>
      </c>
      <c r="F44" t="s">
        <v>786</v>
      </c>
      <c r="G44">
        <v>2000</v>
      </c>
    </row>
    <row r="45" spans="2:7" x14ac:dyDescent="0.35">
      <c r="B45" t="s">
        <v>787</v>
      </c>
      <c r="C45">
        <v>12</v>
      </c>
      <c r="D45">
        <v>2</v>
      </c>
      <c r="E45" t="s">
        <v>117</v>
      </c>
      <c r="F45" t="s">
        <v>788</v>
      </c>
      <c r="G45">
        <v>5000</v>
      </c>
    </row>
    <row r="46" spans="2:7" x14ac:dyDescent="0.35">
      <c r="B46" t="s">
        <v>148</v>
      </c>
      <c r="C46">
        <v>8</v>
      </c>
      <c r="D46">
        <v>0</v>
      </c>
      <c r="E46" t="s">
        <v>48</v>
      </c>
      <c r="F46" t="s">
        <v>365</v>
      </c>
      <c r="G46">
        <v>100</v>
      </c>
    </row>
    <row r="47" spans="2:7" x14ac:dyDescent="0.35">
      <c r="B47" t="s">
        <v>149</v>
      </c>
      <c r="C47">
        <v>9</v>
      </c>
      <c r="D47">
        <v>0</v>
      </c>
      <c r="E47" t="s">
        <v>48</v>
      </c>
      <c r="F47" t="s">
        <v>364</v>
      </c>
      <c r="G47">
        <v>200</v>
      </c>
    </row>
    <row r="48" spans="2:7" x14ac:dyDescent="0.35">
      <c r="B48" t="s">
        <v>125</v>
      </c>
      <c r="C48">
        <v>8</v>
      </c>
      <c r="D48">
        <v>0</v>
      </c>
      <c r="E48" t="s">
        <v>48</v>
      </c>
      <c r="F48" t="str">
        <f>StandardBrain[[#This Row],[Name]]</f>
        <v>Explosives</v>
      </c>
      <c r="G48">
        <v>100</v>
      </c>
    </row>
    <row r="49" spans="2:7" x14ac:dyDescent="0.35">
      <c r="B49" t="s">
        <v>789</v>
      </c>
      <c r="C49">
        <v>8</v>
      </c>
      <c r="D49">
        <v>1</v>
      </c>
      <c r="E49" t="s">
        <v>117</v>
      </c>
      <c r="F49" t="s">
        <v>790</v>
      </c>
      <c r="G49">
        <v>2000</v>
      </c>
    </row>
    <row r="50" spans="2:7" x14ac:dyDescent="0.35">
      <c r="B50" t="s">
        <v>791</v>
      </c>
      <c r="C50">
        <v>10</v>
      </c>
      <c r="D50">
        <v>2</v>
      </c>
      <c r="E50" t="s">
        <v>117</v>
      </c>
      <c r="F50" t="s">
        <v>792</v>
      </c>
      <c r="G50">
        <v>5000</v>
      </c>
    </row>
    <row r="51" spans="2:7" x14ac:dyDescent="0.35">
      <c r="B51" t="s">
        <v>793</v>
      </c>
      <c r="C51">
        <v>13</v>
      </c>
      <c r="D51">
        <v>3</v>
      </c>
      <c r="E51" t="s">
        <v>117</v>
      </c>
      <c r="F51" t="s">
        <v>794</v>
      </c>
      <c r="G51">
        <v>20000</v>
      </c>
    </row>
    <row r="52" spans="2:7" x14ac:dyDescent="0.35">
      <c r="B52" t="s">
        <v>795</v>
      </c>
      <c r="C52">
        <v>17</v>
      </c>
      <c r="D52">
        <v>4</v>
      </c>
      <c r="E52" t="s">
        <v>117</v>
      </c>
      <c r="F52" t="s">
        <v>796</v>
      </c>
      <c r="G52">
        <v>50000</v>
      </c>
    </row>
    <row r="53" spans="2:7" x14ac:dyDescent="0.35">
      <c r="B53" t="s">
        <v>140</v>
      </c>
      <c r="C53">
        <v>8</v>
      </c>
      <c r="D53">
        <v>0</v>
      </c>
      <c r="E53" t="s">
        <v>47</v>
      </c>
      <c r="F53" t="s">
        <v>363</v>
      </c>
      <c r="G53">
        <v>100</v>
      </c>
    </row>
    <row r="54" spans="2:7" x14ac:dyDescent="0.35">
      <c r="B54" t="s">
        <v>126</v>
      </c>
      <c r="C54">
        <v>10</v>
      </c>
      <c r="D54">
        <v>0</v>
      </c>
      <c r="E54" t="s">
        <v>48</v>
      </c>
      <c r="F54" t="str">
        <f>StandardBrain[[#This Row],[Name]]</f>
        <v>Gambler</v>
      </c>
      <c r="G54">
        <v>500</v>
      </c>
    </row>
    <row r="55" spans="2:7" x14ac:dyDescent="0.35">
      <c r="B55" t="s">
        <v>145</v>
      </c>
      <c r="C55">
        <v>8</v>
      </c>
      <c r="D55">
        <v>0</v>
      </c>
      <c r="E55" t="s">
        <v>47</v>
      </c>
      <c r="F55" t="s">
        <v>368</v>
      </c>
      <c r="G55">
        <v>100</v>
      </c>
    </row>
    <row r="56" spans="2:7" x14ac:dyDescent="0.35">
      <c r="B56" t="s">
        <v>146</v>
      </c>
      <c r="C56">
        <v>8</v>
      </c>
      <c r="D56">
        <v>0</v>
      </c>
      <c r="E56" t="s">
        <v>47</v>
      </c>
      <c r="F56" t="s">
        <v>369</v>
      </c>
      <c r="G56">
        <v>100</v>
      </c>
    </row>
    <row r="57" spans="2:7" x14ac:dyDescent="0.35">
      <c r="B57" t="s">
        <v>147</v>
      </c>
      <c r="C57">
        <v>8</v>
      </c>
      <c r="D57">
        <v>0</v>
      </c>
      <c r="E57" t="s">
        <v>47</v>
      </c>
      <c r="F57" t="s">
        <v>370</v>
      </c>
      <c r="G57">
        <v>100</v>
      </c>
    </row>
    <row r="58" spans="2:7" x14ac:dyDescent="0.35">
      <c r="B58" t="s">
        <v>127</v>
      </c>
      <c r="C58">
        <v>11</v>
      </c>
      <c r="D58">
        <v>1</v>
      </c>
      <c r="E58" t="s">
        <v>48</v>
      </c>
      <c r="F58" t="str">
        <f>StandardBrain[[#This Row],[Name]]</f>
        <v>Investigate</v>
      </c>
      <c r="G58">
        <v>500</v>
      </c>
    </row>
    <row r="59" spans="2:7" x14ac:dyDescent="0.35">
      <c r="B59" t="s">
        <v>128</v>
      </c>
      <c r="C59">
        <v>9</v>
      </c>
      <c r="D59">
        <v>0</v>
      </c>
      <c r="E59" t="s">
        <v>48</v>
      </c>
      <c r="F59" t="s">
        <v>371</v>
      </c>
      <c r="G59">
        <v>200</v>
      </c>
    </row>
    <row r="60" spans="2:7" x14ac:dyDescent="0.35">
      <c r="B60" t="s">
        <v>129</v>
      </c>
      <c r="C60">
        <v>13</v>
      </c>
      <c r="D60">
        <v>1</v>
      </c>
      <c r="E60" t="s">
        <v>48</v>
      </c>
      <c r="F60" t="str">
        <f>StandardBrain[[#This Row],[Name]]</f>
        <v>Leadership</v>
      </c>
      <c r="G60">
        <v>1000</v>
      </c>
    </row>
    <row r="61" spans="2:7" x14ac:dyDescent="0.35">
      <c r="B61" t="s">
        <v>130</v>
      </c>
      <c r="C61">
        <v>8</v>
      </c>
      <c r="D61">
        <v>0</v>
      </c>
      <c r="E61" t="s">
        <v>48</v>
      </c>
      <c r="F61" t="str">
        <f>StandardBrain[[#This Row],[Name]]</f>
        <v>Mechanic</v>
      </c>
      <c r="G61">
        <v>100</v>
      </c>
    </row>
    <row r="62" spans="2:7" x14ac:dyDescent="0.35">
      <c r="B62" t="s">
        <v>131</v>
      </c>
      <c r="C62">
        <v>9</v>
      </c>
      <c r="D62">
        <v>0</v>
      </c>
      <c r="E62" t="s">
        <v>48</v>
      </c>
      <c r="F62" t="str">
        <f>StandardBrain[[#This Row],[Name]]</f>
        <v>Medic</v>
      </c>
      <c r="G62">
        <v>200</v>
      </c>
    </row>
    <row r="63" spans="2:7" x14ac:dyDescent="0.35">
      <c r="B63" t="s">
        <v>132</v>
      </c>
      <c r="C63">
        <v>8</v>
      </c>
      <c r="D63">
        <v>0</v>
      </c>
      <c r="E63" t="s">
        <v>47</v>
      </c>
      <c r="F63" t="s">
        <v>372</v>
      </c>
      <c r="G63">
        <v>100</v>
      </c>
    </row>
    <row r="64" spans="2:7" x14ac:dyDescent="0.35">
      <c r="B64" t="s">
        <v>133</v>
      </c>
      <c r="C64">
        <v>8</v>
      </c>
      <c r="D64">
        <v>0</v>
      </c>
      <c r="E64" t="s">
        <v>48</v>
      </c>
      <c r="F64" t="str">
        <f>StandardBrain[[#This Row],[Name]]</f>
        <v>Navigation</v>
      </c>
      <c r="G64">
        <v>100</v>
      </c>
    </row>
    <row r="65" spans="2:7" x14ac:dyDescent="0.35">
      <c r="B65" t="s">
        <v>134</v>
      </c>
      <c r="C65">
        <v>11</v>
      </c>
      <c r="D65">
        <v>1</v>
      </c>
      <c r="E65" t="s">
        <v>48</v>
      </c>
      <c r="F65" t="str">
        <f>StandardBrain[[#This Row],[Name]]</f>
        <v>Persuade</v>
      </c>
      <c r="G65">
        <v>500</v>
      </c>
    </row>
    <row r="66" spans="2:7" x14ac:dyDescent="0.35">
      <c r="B66" t="s">
        <v>138</v>
      </c>
      <c r="C66">
        <v>8</v>
      </c>
      <c r="D66">
        <v>0</v>
      </c>
      <c r="E66" t="s">
        <v>47</v>
      </c>
      <c r="F66" t="s">
        <v>373</v>
      </c>
      <c r="G66">
        <v>100</v>
      </c>
    </row>
    <row r="67" spans="2:7" x14ac:dyDescent="0.35">
      <c r="B67" t="s">
        <v>135</v>
      </c>
      <c r="C67">
        <v>9</v>
      </c>
      <c r="D67">
        <v>0</v>
      </c>
      <c r="E67" t="s">
        <v>48</v>
      </c>
      <c r="F67" t="s">
        <v>374</v>
      </c>
      <c r="G67">
        <v>200</v>
      </c>
    </row>
    <row r="68" spans="2:7" x14ac:dyDescent="0.35">
      <c r="B68" t="s">
        <v>751</v>
      </c>
      <c r="C68">
        <v>10</v>
      </c>
      <c r="D68">
        <v>0</v>
      </c>
      <c r="E68" t="s">
        <v>48</v>
      </c>
      <c r="F68" t="str">
        <f>StandardBrain[[#This Row],[Name]]</f>
        <v>Recon</v>
      </c>
      <c r="G68">
        <v>500</v>
      </c>
    </row>
    <row r="69" spans="2:7" x14ac:dyDescent="0.35">
      <c r="B69" t="s">
        <v>136</v>
      </c>
      <c r="C69">
        <v>9</v>
      </c>
      <c r="D69">
        <v>0</v>
      </c>
      <c r="E69" t="s">
        <v>48</v>
      </c>
      <c r="F69" t="s">
        <v>375</v>
      </c>
      <c r="G69">
        <v>200</v>
      </c>
    </row>
    <row r="70" spans="2:7" x14ac:dyDescent="0.35">
      <c r="B70" t="s">
        <v>137</v>
      </c>
      <c r="C70">
        <v>8</v>
      </c>
      <c r="D70">
        <v>0</v>
      </c>
      <c r="E70" t="s">
        <v>47</v>
      </c>
      <c r="F70" t="s">
        <v>376</v>
      </c>
      <c r="G70">
        <v>100</v>
      </c>
    </row>
    <row r="71" spans="2:7" x14ac:dyDescent="0.35">
      <c r="B71" t="s">
        <v>775</v>
      </c>
      <c r="C71">
        <v>12</v>
      </c>
      <c r="D71">
        <v>5</v>
      </c>
      <c r="G71">
        <v>100000</v>
      </c>
    </row>
    <row r="72" spans="2:7" x14ac:dyDescent="0.35">
      <c r="B72" t="s">
        <v>752</v>
      </c>
      <c r="C72">
        <v>10</v>
      </c>
      <c r="D72">
        <v>0</v>
      </c>
      <c r="E72" t="s">
        <v>47</v>
      </c>
      <c r="F72" t="str">
        <f>StandardBrain[[#This Row],[Name]]</f>
        <v>Stealth</v>
      </c>
      <c r="G72">
        <v>500</v>
      </c>
    </row>
    <row r="73" spans="2:7" x14ac:dyDescent="0.35">
      <c r="B73" t="s">
        <v>144</v>
      </c>
      <c r="C73">
        <v>8</v>
      </c>
      <c r="D73">
        <v>0</v>
      </c>
      <c r="E73" t="s">
        <v>48</v>
      </c>
      <c r="F73" t="str">
        <f>StandardBrain[[#This Row],[Name]]</f>
        <v>Steward</v>
      </c>
      <c r="G73">
        <v>100</v>
      </c>
    </row>
    <row r="74" spans="2:7" x14ac:dyDescent="0.35">
      <c r="B74" t="s">
        <v>141</v>
      </c>
      <c r="C74">
        <v>13</v>
      </c>
      <c r="D74">
        <v>1</v>
      </c>
      <c r="E74" t="s">
        <v>48</v>
      </c>
      <c r="F74" t="str">
        <f>StandardBrain[[#This Row],[Name]]</f>
        <v>Streetwise</v>
      </c>
      <c r="G74">
        <v>1000</v>
      </c>
    </row>
    <row r="75" spans="2:7" x14ac:dyDescent="0.35">
      <c r="B75" t="s">
        <v>142</v>
      </c>
      <c r="C75">
        <v>10</v>
      </c>
      <c r="D75">
        <v>0</v>
      </c>
      <c r="E75" t="s">
        <v>48</v>
      </c>
      <c r="F75" t="str">
        <f>StandardBrain[[#This Row],[Name]]</f>
        <v>Survival</v>
      </c>
      <c r="G75">
        <v>200</v>
      </c>
    </row>
    <row r="76" spans="2:7" x14ac:dyDescent="0.35">
      <c r="B76" t="s">
        <v>797</v>
      </c>
      <c r="C76">
        <v>11</v>
      </c>
      <c r="D76">
        <v>1</v>
      </c>
      <c r="E76" t="s">
        <v>117</v>
      </c>
      <c r="F76" t="s">
        <v>385</v>
      </c>
      <c r="G76">
        <v>15000</v>
      </c>
    </row>
    <row r="77" spans="2:7" x14ac:dyDescent="0.35">
      <c r="B77" t="s">
        <v>798</v>
      </c>
      <c r="C77">
        <v>12</v>
      </c>
      <c r="D77">
        <v>2</v>
      </c>
      <c r="E77" t="s">
        <v>117</v>
      </c>
      <c r="F77" t="s">
        <v>386</v>
      </c>
      <c r="G77">
        <v>30000</v>
      </c>
    </row>
    <row r="78" spans="2:7" x14ac:dyDescent="0.35">
      <c r="B78" t="s">
        <v>799</v>
      </c>
      <c r="C78">
        <v>13</v>
      </c>
      <c r="D78">
        <v>3</v>
      </c>
      <c r="E78" t="s">
        <v>117</v>
      </c>
      <c r="F78" t="s">
        <v>387</v>
      </c>
      <c r="G78">
        <v>60000</v>
      </c>
    </row>
    <row r="79" spans="2:7" x14ac:dyDescent="0.35">
      <c r="B79" t="s">
        <v>800</v>
      </c>
      <c r="C79">
        <v>14</v>
      </c>
      <c r="D79">
        <v>4</v>
      </c>
      <c r="E79" t="s">
        <v>117</v>
      </c>
      <c r="F79" t="s">
        <v>388</v>
      </c>
      <c r="G79">
        <v>120000</v>
      </c>
    </row>
    <row r="80" spans="2:7" x14ac:dyDescent="0.35">
      <c r="B80" t="s">
        <v>150</v>
      </c>
      <c r="C80">
        <v>8</v>
      </c>
      <c r="D80">
        <v>0</v>
      </c>
      <c r="E80" t="s">
        <v>48</v>
      </c>
      <c r="F80" t="s">
        <v>377</v>
      </c>
      <c r="G80">
        <v>100</v>
      </c>
    </row>
    <row r="81" spans="2:7" x14ac:dyDescent="0.35">
      <c r="B81" t="s">
        <v>499</v>
      </c>
      <c r="C81">
        <v>8</v>
      </c>
      <c r="D81">
        <v>1</v>
      </c>
      <c r="E81" t="s">
        <v>48</v>
      </c>
      <c r="F81" t="s">
        <v>500</v>
      </c>
      <c r="G81">
        <v>1000</v>
      </c>
    </row>
    <row r="82" spans="2:7" x14ac:dyDescent="0.35">
      <c r="B82" t="s">
        <v>498</v>
      </c>
    </row>
  </sheetData>
  <pageMargins left="0.7" right="0.7" top="0.75" bottom="0.75" header="0.3" footer="0.3"/>
  <pageSetup orientation="portrait"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AF00-BE3E-4F7A-9352-8E8E9E57967F}">
  <sheetPr>
    <tabColor theme="1"/>
  </sheetPr>
  <dimension ref="A1:B26"/>
  <sheetViews>
    <sheetView workbookViewId="0">
      <selection activeCell="B41" sqref="B41"/>
    </sheetView>
  </sheetViews>
  <sheetFormatPr defaultRowHeight="11.65" x14ac:dyDescent="0.35"/>
  <cols>
    <col min="1" max="1" width="9.1640625" style="131"/>
    <col min="2" max="2" width="180.25" bestFit="1" customWidth="1"/>
  </cols>
  <sheetData>
    <row r="1" spans="1:2" x14ac:dyDescent="0.35">
      <c r="A1" s="133" t="s">
        <v>741</v>
      </c>
    </row>
    <row r="2" spans="1:2" x14ac:dyDescent="0.35">
      <c r="A2" s="131">
        <v>1</v>
      </c>
      <c r="B2" t="s">
        <v>474</v>
      </c>
    </row>
    <row r="3" spans="1:2" x14ac:dyDescent="0.35">
      <c r="A3" s="131">
        <v>1.1000000000000001</v>
      </c>
      <c r="B3" t="s">
        <v>478</v>
      </c>
    </row>
    <row r="4" spans="1:2" x14ac:dyDescent="0.35">
      <c r="A4" s="132">
        <v>1.2</v>
      </c>
      <c r="B4" t="s">
        <v>621</v>
      </c>
    </row>
    <row r="5" spans="1:2" x14ac:dyDescent="0.35">
      <c r="A5" s="131">
        <v>1.21</v>
      </c>
      <c r="B5" t="s">
        <v>545</v>
      </c>
    </row>
    <row r="6" spans="1:2" x14ac:dyDescent="0.35">
      <c r="A6" s="131">
        <v>1.22</v>
      </c>
      <c r="B6" t="s">
        <v>623</v>
      </c>
    </row>
    <row r="7" spans="1:2" x14ac:dyDescent="0.35">
      <c r="A7" s="131">
        <v>1.23</v>
      </c>
      <c r="B7" t="s">
        <v>557</v>
      </c>
    </row>
    <row r="8" spans="1:2" x14ac:dyDescent="0.35">
      <c r="A8" s="131">
        <v>1.3</v>
      </c>
      <c r="B8" t="s">
        <v>558</v>
      </c>
    </row>
    <row r="9" spans="1:2" x14ac:dyDescent="0.35">
      <c r="A9" s="131">
        <v>1.31</v>
      </c>
      <c r="B9" t="s">
        <v>622</v>
      </c>
    </row>
    <row r="10" spans="1:2" x14ac:dyDescent="0.35">
      <c r="A10" s="131">
        <v>1.32</v>
      </c>
      <c r="B10" t="s">
        <v>687</v>
      </c>
    </row>
    <row r="11" spans="1:2" x14ac:dyDescent="0.35">
      <c r="A11" s="132" t="s">
        <v>602</v>
      </c>
      <c r="B11" t="s">
        <v>603</v>
      </c>
    </row>
    <row r="12" spans="1:2" x14ac:dyDescent="0.35">
      <c r="A12" s="131">
        <v>1.33</v>
      </c>
      <c r="B12" t="s">
        <v>611</v>
      </c>
    </row>
    <row r="13" spans="1:2" x14ac:dyDescent="0.35">
      <c r="A13" s="131">
        <v>1.34</v>
      </c>
      <c r="B13" t="s">
        <v>626</v>
      </c>
    </row>
    <row r="14" spans="1:2" x14ac:dyDescent="0.35">
      <c r="A14" s="131">
        <v>1.35</v>
      </c>
      <c r="B14" t="s">
        <v>625</v>
      </c>
    </row>
    <row r="15" spans="1:2" x14ac:dyDescent="0.35">
      <c r="A15" s="131">
        <v>1.36</v>
      </c>
      <c r="B15" t="s">
        <v>639</v>
      </c>
    </row>
    <row r="16" spans="1:2" x14ac:dyDescent="0.35">
      <c r="A16" s="131">
        <v>1.37</v>
      </c>
      <c r="B16" t="s">
        <v>638</v>
      </c>
    </row>
    <row r="17" spans="1:2" x14ac:dyDescent="0.35">
      <c r="A17" s="131">
        <v>1.38</v>
      </c>
      <c r="B17" t="s">
        <v>644</v>
      </c>
    </row>
    <row r="18" spans="1:2" x14ac:dyDescent="0.35">
      <c r="A18" s="131">
        <v>1.39</v>
      </c>
      <c r="B18" t="s">
        <v>688</v>
      </c>
    </row>
    <row r="19" spans="1:2" x14ac:dyDescent="0.35">
      <c r="A19" s="131">
        <v>1.4</v>
      </c>
      <c r="B19" t="s">
        <v>716</v>
      </c>
    </row>
    <row r="20" spans="1:2" x14ac:dyDescent="0.35">
      <c r="A20" s="132" t="s">
        <v>739</v>
      </c>
      <c r="B20" t="s">
        <v>740</v>
      </c>
    </row>
    <row r="21" spans="1:2" x14ac:dyDescent="0.35">
      <c r="A21" s="131">
        <v>1.41</v>
      </c>
      <c r="B21" t="s">
        <v>750</v>
      </c>
    </row>
    <row r="22" spans="1:2" ht="23.25" x14ac:dyDescent="0.35">
      <c r="A22" s="131">
        <v>1.42</v>
      </c>
      <c r="B22" s="130" t="s">
        <v>760</v>
      </c>
    </row>
    <row r="23" spans="1:2" x14ac:dyDescent="0.35">
      <c r="A23" s="131">
        <v>1.43</v>
      </c>
      <c r="B23" t="s">
        <v>761</v>
      </c>
    </row>
    <row r="24" spans="1:2" x14ac:dyDescent="0.35">
      <c r="A24" s="131">
        <v>1.44</v>
      </c>
      <c r="B24" t="s">
        <v>762</v>
      </c>
    </row>
    <row r="25" spans="1:2" x14ac:dyDescent="0.35">
      <c r="A25" s="131">
        <v>1.5</v>
      </c>
      <c r="B25" t="s">
        <v>771</v>
      </c>
    </row>
    <row r="26" spans="1:2" x14ac:dyDescent="0.35">
      <c r="A26" s="131">
        <v>1.51</v>
      </c>
      <c r="B26" t="s">
        <v>773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7CFC-D421-463E-85F4-1090CBABDFF2}">
  <sheetPr>
    <tabColor rgb="FF92D050"/>
  </sheetPr>
  <dimension ref="A1:Z94"/>
  <sheetViews>
    <sheetView tabSelected="1"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828</v>
      </c>
      <c r="C2" s="204"/>
      <c r="D2" s="205"/>
      <c r="E2" s="36">
        <f>SUM(E5:E90)+E4</f>
        <v>0</v>
      </c>
      <c r="F2" s="206" t="s">
        <v>184</v>
      </c>
      <c r="G2" s="207"/>
      <c r="H2" s="208"/>
      <c r="I2" s="203" t="s">
        <v>776</v>
      </c>
      <c r="J2" s="204"/>
      <c r="K2" s="204"/>
      <c r="L2" s="204"/>
      <c r="M2" s="204"/>
      <c r="N2" s="79" t="s">
        <v>315</v>
      </c>
      <c r="O2" s="37">
        <v>10</v>
      </c>
      <c r="P2" s="151">
        <f>Z6</f>
        <v>39300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17</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Basic AutoBerth</v>
      </c>
      <c r="S6" s="144">
        <f>M11</f>
        <v>50</v>
      </c>
      <c r="T6" s="144" t="str">
        <f>B5</f>
        <v>None</v>
      </c>
      <c r="U6" s="144" t="str">
        <f>_xlfn.CONCAT(J14," m")</f>
        <v>0 m</v>
      </c>
      <c r="V6" s="145">
        <f>O2</f>
        <v>10</v>
      </c>
      <c r="W6" s="148">
        <f>P91</f>
        <v>43750</v>
      </c>
      <c r="X6" s="152">
        <f>IF(I2="Standard Design",0.1,0)</f>
        <v>0.1</v>
      </c>
      <c r="Y6" s="153">
        <v>2</v>
      </c>
      <c r="Z6" s="148">
        <f>FLOOR(P91*(1-X6),100)</f>
        <v>39300</v>
      </c>
    </row>
    <row r="7" spans="1:26" ht="12" customHeight="1" x14ac:dyDescent="0.4">
      <c r="A7" s="92" t="str">
        <f>IF( B4&gt;0,IF(COUNT(L36:L56)&gt;0,"Armour (Base =  +0)",_xlfn.CONCAT("Armour (Base =  +",_xlfn.XLOOKUP($O$2,Armour[TL],Armour[Base],,,),")")),_xlfn.CONCAT("Armour (Base =  +",_xlfn.XLOOKUP($O$2,Armour[TL],Armour[Base],,,)-2,")"))</f>
        <v>Armour (Base =  +3)</v>
      </c>
      <c r="B7" s="29">
        <v>0</v>
      </c>
      <c r="E7" s="115" cm="1">
        <f t="array" ref="E7">IF(ROUNDUP(_xlfn.XLOOKUP($O$2,Armour[TL],Armour[Slots]*B7*E4,,,),0)&lt;B7/F7,-ROUNDUP(B7/F7,0),-ROUNDUP(_xlfn.XLOOKUP($O$2,Armour[TL],Armour[Slots]*B7*E4,,,),0))</f>
        <v>0</v>
      </c>
      <c r="F7" s="38">
        <f>_xlfn.XLOOKUP($O$2,Armour[TL],Armour[Max/slot],,,)</f>
        <v>2</v>
      </c>
      <c r="G7" s="209" t="s">
        <v>183</v>
      </c>
      <c r="H7" s="209"/>
      <c r="I7" s="210"/>
      <c r="J7" s="33">
        <f>IF(B4&gt;0,IF(COUNT(L36:L56)&gt;0,B7,_xlfn.XLOOKUP($O$2,Armour[TL],Armour[Base],,,)+B7),_xlfn.XLOOKUP($O$2,Armour[TL],Armour[Base],,,)-2)</f>
        <v>3</v>
      </c>
      <c r="K7" s="93" t="s">
        <v>313</v>
      </c>
      <c r="L7" s="52">
        <f>_xlfn.XLOOKUP($O$2,Armour[TL],Armour[Max],,,)</f>
        <v>30</v>
      </c>
      <c r="N7" s="5" t="str">
        <f>_xlfn.CONCAT("Armour (+",IF(COUNT(L36:L56)&gt;0,0+B7, _xlfn.XLOOKUP($O$2,Armour[TL],Armour[Base],,,)+B7+IF(B4=0,-2,0)),"), ")</f>
        <v xml:space="preserve">Armour (+3), </v>
      </c>
      <c r="P7" s="137" cm="1">
        <f t="array" ref="P7">IF(B7&gt;-1,_xlfn.XLOOKUP($O$2,Armour[TL],-Armour[Cost/Slot]*E7,,,),-P5*0.1)</f>
        <v>0</v>
      </c>
      <c r="R7" s="119" t="s">
        <v>90</v>
      </c>
      <c r="S7" s="162" t="str">
        <f>_xlfn.CONCAT(O9,O13,O19:O28,O30:O34,O36:O57,O64,O69:O71,O73:O90)</f>
        <v xml:space="preserve">Medic 0,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432</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432</v>
      </c>
      <c r="K9" s="177" t="s">
        <v>64</v>
      </c>
      <c r="L9" s="178"/>
      <c r="M9" s="179"/>
      <c r="O9" s="5" t="str">
        <f>IF(B9&gt;0,_xlfn.CONCAT("Athletics (endurance) ",B9,", "),"")</f>
        <v/>
      </c>
      <c r="P9" s="137">
        <f>-500*E9</f>
        <v>0</v>
      </c>
      <c r="R9" s="116" t="s">
        <v>49</v>
      </c>
      <c r="S9" s="162" t="str">
        <f>IF(COUNT(B19:B26)=0,"none",_xlfn.CONCAT(COUNT(B19:B26), " X (STR ",H19," DEX ",L19,")"))</f>
        <v>1 X (STR 5 DEX 6)</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432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(+3),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N/A (INT 4)</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Medical Chamber, Medical Chamber Option: Low berth (basic), Medikit (basic), Storage Compartment (refrigerated), Storage Compartment (standard), ,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432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6</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13</v>
      </c>
      <c r="K19" s="16">
        <v>0</v>
      </c>
      <c r="L19" s="61">
        <f t="shared" ref="L19:L28" si="5">D19+K19</f>
        <v>6</v>
      </c>
      <c r="M19" s="62">
        <f t="shared" ref="M19:M28" si="6">IF(L19&gt;17,4,IF(L19&gt;14,3,IF(L19&gt;11,2,IF(L19&gt;8,1,IF(L19&gt;5,0,IF(L19&gt;2,-1,-2))))))</f>
        <v>0</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13</v>
      </c>
      <c r="K20" s="16"/>
      <c r="L20" s="6">
        <f t="shared" si="5"/>
        <v>0</v>
      </c>
      <c r="M20" s="21">
        <f t="shared" si="6"/>
        <v>-2</v>
      </c>
      <c r="O20" s="5" t="str">
        <f t="shared" si="7"/>
        <v/>
      </c>
      <c r="P20" s="137">
        <f>IF((B20-$B$4)*100&gt;-0.2*$P$5,(B20-$B$4)*100,-0.2*$P$5)+B20*100*(G20)^2+B20*200*(K20)^2</f>
        <v>-700</v>
      </c>
      <c r="R20" s="232" t="s">
        <v>859</v>
      </c>
      <c r="S20" s="233"/>
      <c r="T20" s="233"/>
      <c r="U20" s="233"/>
      <c r="V20" s="233"/>
      <c r="W20" s="233"/>
      <c r="X20" s="233"/>
      <c r="Y20" s="233"/>
      <c r="Z20" s="234"/>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13</v>
      </c>
      <c r="K21" s="16"/>
      <c r="L21" s="6">
        <f t="shared" si="5"/>
        <v>0</v>
      </c>
      <c r="M21" s="21">
        <f t="shared" si="6"/>
        <v>-2</v>
      </c>
      <c r="O21" s="5" t="str">
        <f t="shared" si="7"/>
        <v/>
      </c>
      <c r="P21" s="137">
        <f t="shared" ref="P21:P26" si="9">(B21)*100+B21*100*(G21)^2+B21*200*(K21)^2</f>
        <v>0</v>
      </c>
      <c r="R21" s="235"/>
      <c r="S21" s="236"/>
      <c r="T21" s="236"/>
      <c r="U21" s="236"/>
      <c r="V21" s="236"/>
      <c r="W21" s="236"/>
      <c r="X21" s="236"/>
      <c r="Y21" s="236"/>
      <c r="Z21" s="237"/>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13</v>
      </c>
      <c r="K22" s="16"/>
      <c r="L22" s="6">
        <f t="shared" si="5"/>
        <v>0</v>
      </c>
      <c r="M22" s="21">
        <f t="shared" si="6"/>
        <v>-2</v>
      </c>
      <c r="O22" s="5" t="str">
        <f t="shared" si="7"/>
        <v/>
      </c>
      <c r="P22" s="137">
        <f t="shared" si="9"/>
        <v>0</v>
      </c>
      <c r="R22" s="235"/>
      <c r="S22" s="236"/>
      <c r="T22" s="236"/>
      <c r="U22" s="236"/>
      <c r="V22" s="236"/>
      <c r="W22" s="236"/>
      <c r="X22" s="236"/>
      <c r="Y22" s="236"/>
      <c r="Z22" s="237"/>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13</v>
      </c>
      <c r="K23" s="16"/>
      <c r="L23" s="6">
        <f t="shared" si="5"/>
        <v>0</v>
      </c>
      <c r="M23" s="21">
        <f t="shared" si="6"/>
        <v>-2</v>
      </c>
      <c r="O23" s="5" t="str">
        <f t="shared" si="7"/>
        <v/>
      </c>
      <c r="P23" s="137">
        <f t="shared" si="9"/>
        <v>0</v>
      </c>
      <c r="R23" s="235"/>
      <c r="S23" s="236"/>
      <c r="T23" s="236"/>
      <c r="U23" s="236"/>
      <c r="V23" s="236"/>
      <c r="W23" s="236"/>
      <c r="X23" s="236"/>
      <c r="Y23" s="236"/>
      <c r="Z23" s="237"/>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13</v>
      </c>
      <c r="K24" s="16"/>
      <c r="L24" s="6">
        <f t="shared" si="5"/>
        <v>0</v>
      </c>
      <c r="M24" s="21">
        <f t="shared" si="6"/>
        <v>-2</v>
      </c>
      <c r="O24" s="5" t="str">
        <f t="shared" si="7"/>
        <v/>
      </c>
      <c r="P24" s="137">
        <f t="shared" si="9"/>
        <v>0</v>
      </c>
      <c r="R24" s="235"/>
      <c r="S24" s="236"/>
      <c r="T24" s="236"/>
      <c r="U24" s="236"/>
      <c r="V24" s="236"/>
      <c r="W24" s="236"/>
      <c r="X24" s="236"/>
      <c r="Y24" s="236"/>
      <c r="Z24" s="237"/>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13</v>
      </c>
      <c r="K25" s="16"/>
      <c r="L25" s="6">
        <f t="shared" si="5"/>
        <v>0</v>
      </c>
      <c r="M25" s="21">
        <f t="shared" si="6"/>
        <v>-2</v>
      </c>
      <c r="O25" s="5" t="str">
        <f t="shared" si="7"/>
        <v/>
      </c>
      <c r="P25" s="137">
        <f t="shared" si="9"/>
        <v>0</v>
      </c>
      <c r="R25" s="235"/>
      <c r="S25" s="236"/>
      <c r="T25" s="236"/>
      <c r="U25" s="236"/>
      <c r="V25" s="236"/>
      <c r="W25" s="236"/>
      <c r="X25" s="236"/>
      <c r="Y25" s="236"/>
      <c r="Z25" s="237"/>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13</v>
      </c>
      <c r="K26" s="81"/>
      <c r="L26" s="82">
        <f t="shared" si="5"/>
        <v>0</v>
      </c>
      <c r="M26" s="83">
        <f t="shared" si="6"/>
        <v>-2</v>
      </c>
      <c r="O26" s="5" t="str">
        <f t="shared" si="7"/>
        <v/>
      </c>
      <c r="P26" s="137">
        <f t="shared" si="9"/>
        <v>0</v>
      </c>
      <c r="R26" s="235"/>
      <c r="S26" s="236"/>
      <c r="T26" s="236"/>
      <c r="U26" s="236"/>
      <c r="V26" s="236"/>
      <c r="W26" s="236"/>
      <c r="X26" s="236"/>
      <c r="Y26" s="236"/>
      <c r="Z26" s="237"/>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13</v>
      </c>
      <c r="K27" s="86"/>
      <c r="L27" s="87">
        <f t="shared" si="5"/>
        <v>0</v>
      </c>
      <c r="M27" s="88">
        <f t="shared" si="6"/>
        <v>-2</v>
      </c>
      <c r="N27" s="74"/>
      <c r="O27" s="89" t="str">
        <f t="shared" si="7"/>
        <v/>
      </c>
      <c r="P27" s="138">
        <f>(B27)*100*$B$4+B27*$B$4*100*(G27)^2+B27*$B$4*200*(K27)^2</f>
        <v>0</v>
      </c>
      <c r="R27" s="235"/>
      <c r="S27" s="236"/>
      <c r="T27" s="236"/>
      <c r="U27" s="236"/>
      <c r="V27" s="236"/>
      <c r="W27" s="236"/>
      <c r="X27" s="236"/>
      <c r="Y27" s="236"/>
      <c r="Z27" s="237"/>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13</v>
      </c>
      <c r="K28" s="19"/>
      <c r="L28" s="20">
        <f t="shared" si="5"/>
        <v>0</v>
      </c>
      <c r="M28" s="22">
        <f t="shared" si="6"/>
        <v>-2</v>
      </c>
      <c r="N28" s="24"/>
      <c r="O28" s="5" t="str">
        <f t="shared" si="7"/>
        <v/>
      </c>
      <c r="P28" s="136">
        <f>(B28)*100*$B$4+B28*$B$4*100*(G28)^2+B28*$B$4*200*(K28)^2</f>
        <v>0</v>
      </c>
      <c r="R28" s="235"/>
      <c r="S28" s="236"/>
      <c r="T28" s="236"/>
      <c r="U28" s="236"/>
      <c r="V28" s="236"/>
      <c r="W28" s="236"/>
      <c r="X28" s="236"/>
      <c r="Y28" s="236"/>
      <c r="Z28" s="237"/>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235"/>
      <c r="S29" s="236"/>
      <c r="T29" s="236"/>
      <c r="U29" s="236"/>
      <c r="V29" s="236"/>
      <c r="W29" s="236"/>
      <c r="X29" s="236"/>
      <c r="Y29" s="236"/>
      <c r="Z29" s="237"/>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235"/>
      <c r="S30" s="236"/>
      <c r="T30" s="236"/>
      <c r="U30" s="236"/>
      <c r="V30" s="236"/>
      <c r="W30" s="236"/>
      <c r="X30" s="236"/>
      <c r="Y30" s="236"/>
      <c r="Z30" s="237"/>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235"/>
      <c r="S31" s="236"/>
      <c r="T31" s="236"/>
      <c r="U31" s="236"/>
      <c r="V31" s="236"/>
      <c r="W31" s="236"/>
      <c r="X31" s="236"/>
      <c r="Y31" s="236"/>
      <c r="Z31" s="237"/>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235"/>
      <c r="S32" s="236"/>
      <c r="T32" s="236"/>
      <c r="U32" s="236"/>
      <c r="V32" s="236"/>
      <c r="W32" s="236"/>
      <c r="X32" s="236"/>
      <c r="Y32" s="236"/>
      <c r="Z32" s="237"/>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235"/>
      <c r="S33" s="236"/>
      <c r="T33" s="236"/>
      <c r="U33" s="236"/>
      <c r="V33" s="236"/>
      <c r="W33" s="236"/>
      <c r="X33" s="236"/>
      <c r="Y33" s="236"/>
      <c r="Z33" s="237"/>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235"/>
      <c r="S34" s="236"/>
      <c r="T34" s="236"/>
      <c r="U34" s="236"/>
      <c r="V34" s="236"/>
      <c r="W34" s="236"/>
      <c r="X34" s="236"/>
      <c r="Y34" s="236"/>
      <c r="Z34" s="237"/>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235"/>
      <c r="S35" s="236"/>
      <c r="T35" s="236"/>
      <c r="U35" s="236"/>
      <c r="V35" s="236"/>
      <c r="W35" s="236"/>
      <c r="X35" s="236"/>
      <c r="Y35" s="236"/>
      <c r="Z35" s="237"/>
    </row>
    <row r="36" spans="1:26" ht="12" customHeight="1" x14ac:dyDescent="0.35">
      <c r="A36" s="197" t="s">
        <v>240</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-50</v>
      </c>
      <c r="F36" s="38">
        <f>IF(_xlfn.XLOOKUP(A36,OptionsTable[Name],OptionsTable[xS],,,)=FALSE,1,IF($B$4&gt;0,$E$4,1))</f>
        <v>1</v>
      </c>
      <c r="G36" s="58">
        <v>50</v>
      </c>
      <c r="H36" s="199" t="str">
        <f>IF(_xlfn.XLOOKUP(A36,OptionsTable[Name],OptionsTable[Notes],,,)="","",_xlfn.XLOOKUP(A36,OptionsTable[Name],OptionsTable[Notes],,,))</f>
        <v>DM+1 to Max skill</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10000</v>
      </c>
      <c r="R36" s="235"/>
      <c r="S36" s="236"/>
      <c r="T36" s="236"/>
      <c r="U36" s="236"/>
      <c r="V36" s="236"/>
      <c r="W36" s="236"/>
      <c r="X36" s="236"/>
      <c r="Y36" s="236"/>
      <c r="Z36" s="237"/>
    </row>
    <row r="37" spans="1:26" ht="12" customHeight="1" x14ac:dyDescent="0.35">
      <c r="A37" s="197" t="s">
        <v>559</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-8</v>
      </c>
      <c r="F37" s="38">
        <f>IF(_xlfn.XLOOKUP(A37,OptionsTable[Name],OptionsTable[xS],,,)=FALSE,1,IF($B$4&gt;0,$E$4,1))</f>
        <v>1</v>
      </c>
      <c r="G37" s="58"/>
      <c r="H37" s="199" t="str">
        <f>IF(_xlfn.XLOOKUP(A37,OptionsTable[Name],OptionsTable[Notes],,,)="","",_xlfn.XLOOKUP(A37,OptionsTable[Name],OptionsTable[Notes],,,))</f>
        <v/>
      </c>
      <c r="I37" s="200"/>
      <c r="J37" s="200"/>
      <c r="K37" s="44">
        <f>_xlfn.XLOOKUP(A37,OptionsTable[Name],OptionsTable[TL],,,)</f>
        <v>10</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20000</v>
      </c>
      <c r="R37" s="235"/>
      <c r="S37" s="236"/>
      <c r="T37" s="236"/>
      <c r="U37" s="236"/>
      <c r="V37" s="236"/>
      <c r="W37" s="236"/>
      <c r="X37" s="236"/>
      <c r="Y37" s="236"/>
      <c r="Z37" s="237"/>
    </row>
    <row r="38" spans="1:26" ht="12" customHeight="1" x14ac:dyDescent="0.35">
      <c r="A38" s="197" t="s">
        <v>200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-1</v>
      </c>
      <c r="F38" s="38">
        <f>IF(_xlfn.XLOOKUP(A38,OptionsTable[Name],OptionsTable[xS],,,)=FALSE,1,IF($B$4&gt;0,$E$4,1))</f>
        <v>1</v>
      </c>
      <c r="G38" s="58"/>
      <c r="H38" s="199" t="str">
        <f>IF(_xlfn.XLOOKUP(A38,OptionsTable[Name],OptionsTable[Notes],,,)="","",_xlfn.XLOOKUP(A38,OptionsTable[Name],OptionsTable[Notes],,,))</f>
        <v>0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1000</v>
      </c>
      <c r="R38" s="235"/>
      <c r="S38" s="236"/>
      <c r="T38" s="236"/>
      <c r="U38" s="236"/>
      <c r="V38" s="236"/>
      <c r="W38" s="236"/>
      <c r="X38" s="236"/>
      <c r="Y38" s="236"/>
      <c r="Z38" s="237"/>
    </row>
    <row r="39" spans="1:26" ht="12" customHeight="1" x14ac:dyDescent="0.35">
      <c r="A39" s="197" t="s">
        <v>190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-2</v>
      </c>
      <c r="F39" s="38">
        <f>IF(_xlfn.XLOOKUP(A39,OptionsTable[Name],OptionsTable[xS],,,)=FALSE,1,IF($B$4&gt;0,$E$4,1))</f>
        <v>1</v>
      </c>
      <c r="G39" s="58">
        <v>2</v>
      </c>
      <c r="H39" s="199" t="str">
        <f>IF(_xlfn.XLOOKUP(A39,OptionsTable[Name],OptionsTable[Notes],,,)="","",_xlfn.XLOOKUP(A39,OptionsTable[Name],OptionsTable[Notes],,,))</f>
        <v>2 kg or litres / slot</v>
      </c>
      <c r="I39" s="200"/>
      <c r="J39" s="200"/>
      <c r="K39" s="44">
        <f>_xlfn.XLOOKUP(A39,OptionsTable[Name],OptionsTable[TL],,,)</f>
        <v>6</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200</v>
      </c>
      <c r="R39" s="235"/>
      <c r="S39" s="236"/>
      <c r="T39" s="236"/>
      <c r="U39" s="236"/>
      <c r="V39" s="236"/>
      <c r="W39" s="236"/>
      <c r="X39" s="236"/>
      <c r="Y39" s="236"/>
      <c r="Z39" s="237"/>
    </row>
    <row r="40" spans="1:26" ht="12" customHeight="1" x14ac:dyDescent="0.35">
      <c r="A40" s="197" t="s">
        <v>471</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-33</v>
      </c>
      <c r="F40" s="38">
        <f>IF(_xlfn.XLOOKUP(A40,OptionsTable[Name],OptionsTable[xS],,,)=FALSE,1,IF($B$4&gt;0,$E$4,1))</f>
        <v>1</v>
      </c>
      <c r="G40" s="58">
        <v>33</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1650</v>
      </c>
      <c r="R40" s="235"/>
      <c r="S40" s="236"/>
      <c r="T40" s="236"/>
      <c r="U40" s="236"/>
      <c r="V40" s="236"/>
      <c r="W40" s="236"/>
      <c r="X40" s="236"/>
      <c r="Y40" s="236"/>
      <c r="Z40" s="237"/>
    </row>
    <row r="41" spans="1:26" ht="12" customHeight="1" x14ac:dyDescent="0.35">
      <c r="A41" s="197"/>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v>
      </c>
      <c r="G41" s="58"/>
      <c r="H41" s="199" t="str">
        <f>IF(_xlfn.XLOOKUP(A41,OptionsTable[Name],OptionsTable[Notes],,,)="","",_xlfn.XLOOKUP(A41,OptionsTable[Name],OptionsTable[Notes],,,))</f>
        <v/>
      </c>
      <c r="I41" s="200"/>
      <c r="J41" s="200"/>
      <c r="K41" s="44">
        <f>_xlfn.XLOOKUP(A41,OptionsTable[Name],OptionsTable[TL],,,)</f>
        <v>0</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0</v>
      </c>
      <c r="R41" s="235"/>
      <c r="S41" s="236"/>
      <c r="T41" s="236"/>
      <c r="U41" s="236"/>
      <c r="V41" s="236"/>
      <c r="W41" s="236"/>
      <c r="X41" s="236"/>
      <c r="Y41" s="236"/>
      <c r="Z41" s="237"/>
    </row>
    <row r="42" spans="1:26" ht="12" customHeight="1" x14ac:dyDescent="0.35">
      <c r="A42" s="197"/>
      <c r="B42" s="198"/>
      <c r="C42" s="198"/>
      <c r="D42" s="24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235"/>
      <c r="S42" s="236"/>
      <c r="T42" s="236"/>
      <c r="U42" s="236"/>
      <c r="V42" s="236"/>
      <c r="W42" s="236"/>
      <c r="X42" s="236"/>
      <c r="Y42" s="236"/>
      <c r="Z42" s="237"/>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235"/>
      <c r="S43" s="236"/>
      <c r="T43" s="236"/>
      <c r="U43" s="236"/>
      <c r="V43" s="236"/>
      <c r="W43" s="236"/>
      <c r="X43" s="236"/>
      <c r="Y43" s="236"/>
      <c r="Z43" s="237"/>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235"/>
      <c r="S44" s="236"/>
      <c r="T44" s="236"/>
      <c r="U44" s="236"/>
      <c r="V44" s="236"/>
      <c r="W44" s="236"/>
      <c r="X44" s="236"/>
      <c r="Y44" s="236"/>
      <c r="Z44" s="237"/>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235"/>
      <c r="S45" s="236"/>
      <c r="T45" s="236"/>
      <c r="U45" s="236"/>
      <c r="V45" s="236"/>
      <c r="W45" s="236"/>
      <c r="X45" s="236"/>
      <c r="Y45" s="236"/>
      <c r="Z45" s="237"/>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235"/>
      <c r="S46" s="236"/>
      <c r="T46" s="236"/>
      <c r="U46" s="236"/>
      <c r="V46" s="236"/>
      <c r="W46" s="236"/>
      <c r="X46" s="236"/>
      <c r="Y46" s="236"/>
      <c r="Z46" s="237"/>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235"/>
      <c r="S47" s="236"/>
      <c r="T47" s="236"/>
      <c r="U47" s="236"/>
      <c r="V47" s="236"/>
      <c r="W47" s="236"/>
      <c r="X47" s="236"/>
      <c r="Y47" s="236"/>
      <c r="Z47" s="237"/>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235"/>
      <c r="S48" s="236"/>
      <c r="T48" s="236"/>
      <c r="U48" s="236"/>
      <c r="V48" s="236"/>
      <c r="W48" s="236"/>
      <c r="X48" s="236"/>
      <c r="Y48" s="236"/>
      <c r="Z48" s="237"/>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235"/>
      <c r="S49" s="236"/>
      <c r="T49" s="236"/>
      <c r="U49" s="236"/>
      <c r="V49" s="236"/>
      <c r="W49" s="236"/>
      <c r="X49" s="236"/>
      <c r="Y49" s="236"/>
      <c r="Z49" s="237"/>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235"/>
      <c r="S50" s="236"/>
      <c r="T50" s="236"/>
      <c r="U50" s="236"/>
      <c r="V50" s="236"/>
      <c r="W50" s="236"/>
      <c r="X50" s="236"/>
      <c r="Y50" s="236"/>
      <c r="Z50" s="237"/>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235"/>
      <c r="S51" s="236"/>
      <c r="T51" s="236"/>
      <c r="U51" s="236"/>
      <c r="V51" s="236"/>
      <c r="W51" s="236"/>
      <c r="X51" s="236"/>
      <c r="Y51" s="236"/>
      <c r="Z51" s="237"/>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235"/>
      <c r="S52" s="236"/>
      <c r="T52" s="236"/>
      <c r="U52" s="236"/>
      <c r="V52" s="236"/>
      <c r="W52" s="236"/>
      <c r="X52" s="236"/>
      <c r="Y52" s="236"/>
      <c r="Z52" s="237"/>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235"/>
      <c r="S53" s="236"/>
      <c r="T53" s="236"/>
      <c r="U53" s="236"/>
      <c r="V53" s="236"/>
      <c r="W53" s="236"/>
      <c r="X53" s="236"/>
      <c r="Y53" s="236"/>
      <c r="Z53" s="237"/>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235"/>
      <c r="S54" s="236"/>
      <c r="T54" s="236"/>
      <c r="U54" s="236"/>
      <c r="V54" s="236"/>
      <c r="W54" s="236"/>
      <c r="X54" s="236"/>
      <c r="Y54" s="236"/>
      <c r="Z54" s="237"/>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235"/>
      <c r="S55" s="236"/>
      <c r="T55" s="236"/>
      <c r="U55" s="236"/>
      <c r="V55" s="236"/>
      <c r="W55" s="236"/>
      <c r="X55" s="236"/>
      <c r="Y55" s="236"/>
      <c r="Z55" s="237"/>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235"/>
      <c r="S56" s="236"/>
      <c r="T56" s="236"/>
      <c r="U56" s="236"/>
      <c r="V56" s="236"/>
      <c r="W56" s="236"/>
      <c r="X56" s="236"/>
      <c r="Y56" s="236"/>
      <c r="Z56" s="237"/>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235"/>
      <c r="S57" s="236"/>
      <c r="T57" s="236"/>
      <c r="U57" s="236"/>
      <c r="V57" s="236"/>
      <c r="W57" s="236"/>
      <c r="X57" s="236"/>
      <c r="Y57" s="236"/>
      <c r="Z57" s="237"/>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235"/>
      <c r="S58" s="236"/>
      <c r="T58" s="236"/>
      <c r="U58" s="236"/>
      <c r="V58" s="236"/>
      <c r="W58" s="236"/>
      <c r="X58" s="236"/>
      <c r="Y58" s="236"/>
      <c r="Z58" s="237"/>
    </row>
    <row r="59" spans="1:26" ht="12" customHeight="1" x14ac:dyDescent="0.35">
      <c r="A59" s="226" t="s">
        <v>359</v>
      </c>
      <c r="B59" s="227"/>
      <c r="C59" s="227"/>
      <c r="D59" s="227"/>
      <c r="E59" s="40"/>
      <c r="F59" s="38"/>
      <c r="G59" s="108"/>
      <c r="H59" s="228"/>
      <c r="I59" s="229"/>
      <c r="J59" s="51"/>
      <c r="K59" s="50"/>
      <c r="L59" s="51"/>
      <c r="M59" s="51"/>
      <c r="N59" s="51"/>
      <c r="P59" s="141"/>
      <c r="R59" s="235"/>
      <c r="S59" s="236"/>
      <c r="T59" s="236"/>
      <c r="U59" s="236"/>
      <c r="V59" s="236"/>
      <c r="W59" s="236"/>
      <c r="X59" s="236"/>
      <c r="Y59" s="236"/>
      <c r="Z59" s="237"/>
    </row>
    <row r="60" spans="1:26" ht="12" customHeight="1" x14ac:dyDescent="0.35">
      <c r="A60" s="197"/>
      <c r="B60" s="198"/>
      <c r="C60" s="198"/>
      <c r="D60" s="198"/>
      <c r="E60" s="40"/>
      <c r="F60" s="38"/>
      <c r="G60" s="58"/>
      <c r="H60" s="199"/>
      <c r="I60" s="219"/>
      <c r="J60" s="23"/>
      <c r="K60" s="45"/>
      <c r="L60" s="23"/>
      <c r="M60" s="23"/>
      <c r="N60" s="23"/>
      <c r="P60" s="142"/>
      <c r="R60" s="235"/>
      <c r="S60" s="236"/>
      <c r="T60" s="236"/>
      <c r="U60" s="236"/>
      <c r="V60" s="236"/>
      <c r="W60" s="236"/>
      <c r="X60" s="236"/>
      <c r="Y60" s="236"/>
      <c r="Z60" s="237"/>
    </row>
    <row r="61" spans="1:26" ht="12" customHeight="1" x14ac:dyDescent="0.35">
      <c r="A61" s="197"/>
      <c r="B61" s="198"/>
      <c r="C61" s="198"/>
      <c r="D61" s="198"/>
      <c r="E61" s="40"/>
      <c r="F61" s="38"/>
      <c r="G61" s="58"/>
      <c r="H61" s="199"/>
      <c r="I61" s="219"/>
      <c r="J61" s="23"/>
      <c r="K61" s="45"/>
      <c r="L61" s="23"/>
      <c r="M61" s="23"/>
      <c r="N61" s="23"/>
      <c r="P61" s="142"/>
      <c r="R61" s="235"/>
      <c r="S61" s="236"/>
      <c r="T61" s="236"/>
      <c r="U61" s="236"/>
      <c r="V61" s="236"/>
      <c r="W61" s="236"/>
      <c r="X61" s="236"/>
      <c r="Y61" s="236"/>
      <c r="Z61" s="237"/>
    </row>
    <row r="62" spans="1:26" ht="12" customHeight="1" thickBot="1" x14ac:dyDescent="0.4">
      <c r="E62" s="40"/>
      <c r="F62" s="38"/>
      <c r="K62" s="40"/>
      <c r="R62" s="235"/>
      <c r="S62" s="236"/>
      <c r="T62" s="236"/>
      <c r="U62" s="236"/>
      <c r="V62" s="236"/>
      <c r="W62" s="236"/>
      <c r="X62" s="236"/>
      <c r="Y62" s="236"/>
      <c r="Z62" s="237"/>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235"/>
      <c r="S63" s="236"/>
      <c r="T63" s="236"/>
      <c r="U63" s="236"/>
      <c r="V63" s="236"/>
      <c r="W63" s="236"/>
      <c r="X63" s="236"/>
      <c r="Y63" s="236"/>
      <c r="Z63" s="237"/>
    </row>
    <row r="64" spans="1:26" ht="12" customHeight="1" x14ac:dyDescent="0.35">
      <c r="A64" s="93" t="s">
        <v>309</v>
      </c>
      <c r="B64" s="226" t="s">
        <v>76</v>
      </c>
      <c r="C64" s="227"/>
      <c r="D64" s="227"/>
      <c r="E64" s="40">
        <f>IF(L64+K64-O2&gt;B4,-1,0)</f>
        <v>0</v>
      </c>
      <c r="F64" s="38"/>
      <c r="H64" s="1">
        <f>_xlfn.XLOOKUP(B64,Brains[Programming/Control],Brains[Base INT],,,)</f>
        <v>4</v>
      </c>
      <c r="I64" s="31">
        <f>IF(H64&gt;17,4,IF(H64&gt;14,3,IF(H64&gt;11,2,IF(H64&gt;8,1,IF(H64&gt;5,0,IF(H64&gt;2,-1,-2))))))</f>
        <v>-1</v>
      </c>
      <c r="J64" s="1">
        <f>_xlfn.XLOOKUP(B64,Brains[Programming/Control],Brains[Computer/X],,,)</f>
        <v>1</v>
      </c>
      <c r="K64" s="44">
        <f>_xlfn.XLOOKUP(B64,Brains[Programming/Control],Brains[TL],,,)</f>
        <v>10</v>
      </c>
      <c r="L64">
        <f>_xlfn.XLOOKUP(B64,Brains[Programming/Control],Brains[Computer/X],,,)</f>
        <v>1</v>
      </c>
      <c r="M64" s="12" t="str">
        <f>_xlfn.XLOOKUP(B64,Brains[Programming/Control],Brains[Base capability (built-in no bandwidth, cumulative)],,,)</f>
        <v>Limited language, Security/0</v>
      </c>
      <c r="N64" s="12"/>
      <c r="O64" s="12" t="str">
        <f>IF(_xlfn.XLOOKUP(B64,Brains[Programming/Control],Brains[Skill],,,)="","",_xlfn.XLOOKUP(B64,Brains[Programming/Control],Brains[Skill],,,))</f>
        <v/>
      </c>
      <c r="P64" s="137">
        <f>_xlfn.XLOOKUP(B64,Brains[Programming/Control],Brains[Cost],,,)*IF(L64&gt;2,2/(2)^(1+O2-K64),1)</f>
        <v>4000</v>
      </c>
      <c r="R64" s="235"/>
      <c r="S64" s="236"/>
      <c r="T64" s="236"/>
      <c r="U64" s="236"/>
      <c r="V64" s="236"/>
      <c r="W64" s="236"/>
      <c r="X64" s="236"/>
      <c r="Y64" s="236"/>
      <c r="Z64" s="237"/>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1</v>
      </c>
      <c r="M65" t="s">
        <v>310</v>
      </c>
      <c r="P65" s="137">
        <f>_xlfn.XLOOKUP(B65,Bandwidth[Minimum Base Brain],Bandwidth[Cost],,,)</f>
        <v>0</v>
      </c>
      <c r="R65" s="235"/>
      <c r="S65" s="236"/>
      <c r="T65" s="236"/>
      <c r="U65" s="236"/>
      <c r="V65" s="236"/>
      <c r="W65" s="236"/>
      <c r="X65" s="236"/>
      <c r="Y65" s="236"/>
      <c r="Z65" s="237"/>
    </row>
    <row r="66" spans="1:26" ht="12" customHeight="1" x14ac:dyDescent="0.35">
      <c r="A66" s="93" t="s">
        <v>708</v>
      </c>
      <c r="B66" s="29">
        <v>0</v>
      </c>
      <c r="E66" s="40"/>
      <c r="F66" s="38" cm="1">
        <f t="array" ref="F66">_xlfn.IFS(B66=0,0,B66=1,-1,B66=2,-3,B66=3,-6)</f>
        <v>0</v>
      </c>
      <c r="H66" s="6">
        <f>H64+B66</f>
        <v>4</v>
      </c>
      <c r="I66" s="15">
        <f>IF(H66&gt;17,4,IF(H66&gt;14,3,IF(H66&gt;11,2,IF(H66&gt;8,1,IF(H66&gt;5,0,IF(H66&gt;2,-1,-2))))))</f>
        <v>-1</v>
      </c>
      <c r="K66" s="44"/>
      <c r="L66" s="56">
        <f>L65+F66</f>
        <v>1</v>
      </c>
      <c r="M66" t="s">
        <v>310</v>
      </c>
      <c r="P66" s="137" cm="1">
        <f t="array" ref="P66">_xlfn.IFS(B66=0,0,B66=1,(H64+1)*1000,B66=2,(H64+1)*(H64+2)*1000,B66=3,(H64+1)*(H64+2)*(H64+3)*1000)*IF(H66&gt;11,2,1)</f>
        <v>0</v>
      </c>
      <c r="R66" s="235"/>
      <c r="S66" s="236"/>
      <c r="T66" s="236"/>
      <c r="U66" s="236"/>
      <c r="V66" s="236"/>
      <c r="W66" s="236"/>
      <c r="X66" s="236"/>
      <c r="Y66" s="236"/>
      <c r="Z66" s="237"/>
    </row>
    <row r="67" spans="1:26" ht="12" customHeight="1" thickBot="1" x14ac:dyDescent="0.4">
      <c r="A67" s="93" t="s">
        <v>308</v>
      </c>
      <c r="B67" s="28" t="b">
        <v>0</v>
      </c>
      <c r="C67" s="24"/>
      <c r="D67" s="24"/>
      <c r="E67" s="41"/>
      <c r="F67" s="39"/>
      <c r="G67" s="24"/>
      <c r="H67" s="47"/>
      <c r="I67" s="24"/>
      <c r="J67" s="105">
        <f>J64-COUNTIF(G73:G90,0)</f>
        <v>1</v>
      </c>
      <c r="K67" s="43"/>
      <c r="L67" s="57">
        <f>L66-SUM(G69:G90)</f>
        <v>0</v>
      </c>
      <c r="M67" s="24" t="s">
        <v>312</v>
      </c>
      <c r="N67" s="25" t="str">
        <f>IF(B67,"Hardened, ","")</f>
        <v/>
      </c>
      <c r="O67" s="24"/>
      <c r="P67" s="136">
        <f>B67*(P65+P64)*0.5</f>
        <v>0</v>
      </c>
      <c r="R67" s="235"/>
      <c r="S67" s="236"/>
      <c r="T67" s="236"/>
      <c r="U67" s="236"/>
      <c r="V67" s="236"/>
      <c r="W67" s="236"/>
      <c r="X67" s="236"/>
      <c r="Y67" s="236"/>
      <c r="Z67" s="237"/>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235"/>
      <c r="S68" s="236"/>
      <c r="T68" s="236"/>
      <c r="U68" s="236"/>
      <c r="V68" s="236"/>
      <c r="W68" s="236"/>
      <c r="X68" s="236"/>
      <c r="Y68" s="236"/>
      <c r="Z68" s="237"/>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235"/>
      <c r="S69" s="236"/>
      <c r="T69" s="236"/>
      <c r="U69" s="236"/>
      <c r="V69" s="236"/>
      <c r="W69" s="236"/>
      <c r="X69" s="236"/>
      <c r="Y69" s="236"/>
      <c r="Z69" s="237"/>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235"/>
      <c r="S70" s="236"/>
      <c r="T70" s="236"/>
      <c r="U70" s="236"/>
      <c r="V70" s="236"/>
      <c r="W70" s="236"/>
      <c r="X70" s="236"/>
      <c r="Y70" s="236"/>
      <c r="Z70" s="237"/>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235"/>
      <c r="S71" s="236"/>
      <c r="T71" s="236"/>
      <c r="U71" s="236"/>
      <c r="V71" s="236"/>
      <c r="W71" s="236"/>
      <c r="X71" s="236"/>
      <c r="Y71" s="236"/>
      <c r="Z71" s="237"/>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235"/>
      <c r="S72" s="236"/>
      <c r="T72" s="236"/>
      <c r="U72" s="236"/>
      <c r="V72" s="236"/>
      <c r="W72" s="236"/>
      <c r="X72" s="236"/>
      <c r="Y72" s="236"/>
      <c r="Z72" s="237"/>
    </row>
    <row r="73" spans="1:26" ht="12" customHeight="1" x14ac:dyDescent="0.35">
      <c r="A73" s="48" t="s">
        <v>131</v>
      </c>
      <c r="B73" s="228"/>
      <c r="C73" s="229"/>
      <c r="D73" s="58">
        <v>1</v>
      </c>
      <c r="E73" s="40"/>
      <c r="G73" s="59">
        <f>IF(A73="N/A","",D73+_xlfn.XLOOKUP(A73,StandardBrain[Name],StandardBrain[Bandwidth],,,))</f>
        <v>1</v>
      </c>
      <c r="I73" s="59" t="str">
        <f>_xlfn.XLOOKUP(A73,StandardBrain[Name],StandardBrain[Characteristic],,,)</f>
        <v>INT</v>
      </c>
      <c r="K73" s="44">
        <f>_xlfn.XLOOKUP(A73,StandardBrain[Name],StandardBrain[TL],,,)+D73</f>
        <v>10</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0, </v>
      </c>
      <c r="P73" s="137">
        <f>_xlfn.XLOOKUP(A73,StandardBrain[Name],StandardBrain[Cr],,,)*10^(D73)</f>
        <v>2000</v>
      </c>
      <c r="R73" s="235"/>
      <c r="S73" s="236"/>
      <c r="T73" s="236"/>
      <c r="U73" s="236"/>
      <c r="V73" s="236"/>
      <c r="W73" s="236"/>
      <c r="X73" s="236"/>
      <c r="Y73" s="236"/>
      <c r="Z73" s="237"/>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235"/>
      <c r="S74" s="236"/>
      <c r="T74" s="236"/>
      <c r="U74" s="236"/>
      <c r="V74" s="236"/>
      <c r="W74" s="236"/>
      <c r="X74" s="236"/>
      <c r="Y74" s="236"/>
      <c r="Z74" s="237"/>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238"/>
      <c r="S75" s="239"/>
      <c r="T75" s="239"/>
      <c r="U75" s="239"/>
      <c r="V75" s="239"/>
      <c r="W75" s="239"/>
      <c r="X75" s="239"/>
      <c r="Y75" s="239"/>
      <c r="Z75" s="240"/>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43750</v>
      </c>
    </row>
    <row r="92" spans="1:16" ht="12" customHeight="1" thickBot="1" x14ac:dyDescent="0.45">
      <c r="A92" s="110"/>
      <c r="O92" s="149" t="str">
        <f>CONCATENATE("Cost With "&amp;X6*100 &amp; "% Discount")</f>
        <v>Cost With 10% Discount</v>
      </c>
      <c r="P92" s="147">
        <f>P2</f>
        <v>39300</v>
      </c>
    </row>
    <row r="93" spans="1:16" ht="12" customHeight="1" x14ac:dyDescent="0.4">
      <c r="B93" s="111"/>
    </row>
    <row r="94" spans="1:16" ht="12" customHeight="1" x14ac:dyDescent="0.35">
      <c r="A94" s="110"/>
      <c r="B94" s="112"/>
    </row>
  </sheetData>
  <sortState xmlns:xlrd2="http://schemas.microsoft.com/office/spreadsheetml/2017/richdata2" ref="A36:D41">
    <sortCondition ref="A36:A41"/>
  </sortState>
  <dataConsolidate/>
  <mergeCells count="113">
    <mergeCell ref="B69:D69"/>
    <mergeCell ref="B70:D70"/>
    <mergeCell ref="B88:C88"/>
    <mergeCell ref="B89:C89"/>
    <mergeCell ref="B90:C90"/>
    <mergeCell ref="B82:C82"/>
    <mergeCell ref="B83:C83"/>
    <mergeCell ref="B84:C84"/>
    <mergeCell ref="B85:C85"/>
    <mergeCell ref="B86:C86"/>
    <mergeCell ref="B87:C87"/>
    <mergeCell ref="B71:D71"/>
    <mergeCell ref="B73:C73"/>
    <mergeCell ref="B74:C74"/>
    <mergeCell ref="B75:C75"/>
    <mergeCell ref="B76:C76"/>
    <mergeCell ref="B77:C77"/>
    <mergeCell ref="B78:C78"/>
    <mergeCell ref="B79:C79"/>
    <mergeCell ref="B80:C80"/>
    <mergeCell ref="B81:C81"/>
    <mergeCell ref="A61:D61"/>
    <mergeCell ref="H61:I61"/>
    <mergeCell ref="B64:D64"/>
    <mergeCell ref="B65:D65"/>
    <mergeCell ref="A56:D56"/>
    <mergeCell ref="H56:J56"/>
    <mergeCell ref="A57:D57"/>
    <mergeCell ref="H57:J57"/>
    <mergeCell ref="A59:D59"/>
    <mergeCell ref="H59:I59"/>
    <mergeCell ref="A60:D60"/>
    <mergeCell ref="H60:I60"/>
    <mergeCell ref="A53:D53"/>
    <mergeCell ref="H53:J53"/>
    <mergeCell ref="A54:D54"/>
    <mergeCell ref="H54:J54"/>
    <mergeCell ref="A55:D55"/>
    <mergeCell ref="H55:J55"/>
    <mergeCell ref="A50:D50"/>
    <mergeCell ref="H50:J50"/>
    <mergeCell ref="A51:D51"/>
    <mergeCell ref="H51:J51"/>
    <mergeCell ref="A52:D52"/>
    <mergeCell ref="H52:J52"/>
    <mergeCell ref="A47:D47"/>
    <mergeCell ref="H47:J47"/>
    <mergeCell ref="A48:D48"/>
    <mergeCell ref="H48:J48"/>
    <mergeCell ref="A49:D49"/>
    <mergeCell ref="H49:J49"/>
    <mergeCell ref="A44:D44"/>
    <mergeCell ref="H44:J44"/>
    <mergeCell ref="A45:D45"/>
    <mergeCell ref="H45:J45"/>
    <mergeCell ref="A46:D46"/>
    <mergeCell ref="H46:J46"/>
    <mergeCell ref="H32:J32"/>
    <mergeCell ref="A40:D40"/>
    <mergeCell ref="H40:J40"/>
    <mergeCell ref="H41:J41"/>
    <mergeCell ref="H42:J42"/>
    <mergeCell ref="A33:D33"/>
    <mergeCell ref="H33:J33"/>
    <mergeCell ref="A43:D43"/>
    <mergeCell ref="H43:J43"/>
    <mergeCell ref="A37:D37"/>
    <mergeCell ref="H37:J37"/>
    <mergeCell ref="A38:D38"/>
    <mergeCell ref="H38:J38"/>
    <mergeCell ref="A39:D39"/>
    <mergeCell ref="H39:J39"/>
    <mergeCell ref="A41:D41"/>
    <mergeCell ref="A42:D42"/>
    <mergeCell ref="R20:Z75"/>
    <mergeCell ref="R13:R17"/>
    <mergeCell ref="B2:D2"/>
    <mergeCell ref="F2:H2"/>
    <mergeCell ref="I2:M2"/>
    <mergeCell ref="G3:J3"/>
    <mergeCell ref="G4:I4"/>
    <mergeCell ref="K4:L4"/>
    <mergeCell ref="G5:I5"/>
    <mergeCell ref="H6:N6"/>
    <mergeCell ref="G7:I7"/>
    <mergeCell ref="A30:D30"/>
    <mergeCell ref="H30:J30"/>
    <mergeCell ref="A31:D31"/>
    <mergeCell ref="H31:J31"/>
    <mergeCell ref="B29:D29"/>
    <mergeCell ref="H29:J29"/>
    <mergeCell ref="A34:D34"/>
    <mergeCell ref="H34:J34"/>
    <mergeCell ref="G12:O12"/>
    <mergeCell ref="H35:J35"/>
    <mergeCell ref="A36:D36"/>
    <mergeCell ref="H36:J36"/>
    <mergeCell ref="A32:D32"/>
    <mergeCell ref="S7:Z7"/>
    <mergeCell ref="S8:Z8"/>
    <mergeCell ref="S9:Z9"/>
    <mergeCell ref="S10:Z10"/>
    <mergeCell ref="S11:Z11"/>
    <mergeCell ref="S12:Z12"/>
    <mergeCell ref="S13:Z17"/>
    <mergeCell ref="G8:I8"/>
    <mergeCell ref="K8:M8"/>
    <mergeCell ref="G9:I9"/>
    <mergeCell ref="K9:M9"/>
    <mergeCell ref="G10:H10"/>
    <mergeCell ref="K10:M10"/>
    <mergeCell ref="G11:H11"/>
    <mergeCell ref="K11:L11"/>
  </mergeCells>
  <conditionalFormatting sqref="B14">
    <cfRule type="expression" dxfId="188" priority="7">
      <formula>ABS($J$14-6) &gt; 6</formula>
    </cfRule>
  </conditionalFormatting>
  <conditionalFormatting sqref="E2">
    <cfRule type="expression" dxfId="187" priority="5">
      <formula>$E$2&lt;0</formula>
    </cfRule>
  </conditionalFormatting>
  <conditionalFormatting sqref="E15:E17">
    <cfRule type="expression" dxfId="186" priority="1">
      <formula>AND($B$4=0,E15&lt;0)</formula>
    </cfRule>
  </conditionalFormatting>
  <conditionalFormatting sqref="K5 K30:K34 K36:K57 K59:K61 K64:K67 K73:K90">
    <cfRule type="expression" dxfId="185" priority="6">
      <formula>K5&gt;$O$2</formula>
    </cfRule>
  </conditionalFormatting>
  <conditionalFormatting sqref="L57">
    <cfRule type="expression" dxfId="184" priority="2">
      <formula>L57&gt;$O$2</formula>
    </cfRule>
  </conditionalFormatting>
  <conditionalFormatting sqref="L67">
    <cfRule type="expression" dxfId="183" priority="4">
      <formula>L67&lt;0</formula>
    </cfRule>
  </conditionalFormatting>
  <dataValidations count="20">
    <dataValidation type="whole" allowBlank="1" showInputMessage="1" showErrorMessage="1" error="Total Armour cannot exceed Maximum" sqref="B7" xr:uid="{63DCD350-E66E-4968-A893-2961A456C157}">
      <formula1>-1</formula1>
      <formula2>L7-MID(A7,18,1)</formula2>
    </dataValidation>
    <dataValidation type="whole" allowBlank="1" showInputMessage="1" showErrorMessage="1" error="Max DEX = TL+3" sqref="K19:K28" xr:uid="{D9E83543-BD82-4C9F-8B41-3DC0F06E6EA1}">
      <formula1>0</formula1>
      <formula2>J19-D19</formula2>
    </dataValidation>
    <dataValidation type="whole" allowBlank="1" showInputMessage="1" showErrorMessage="1" error="Max STR = Lesser of Size + TL or SIZE X 4" sqref="G19:G28" xr:uid="{2DBBD4D4-4E68-4178-A0A3-2CF8685ADC70}">
      <formula1>0</formula1>
      <formula2>F19-C19</formula2>
    </dataValidation>
    <dataValidation type="whole" allowBlank="1" showInputMessage="1" showErrorMessage="1" sqref="E13:E14" xr:uid="{DBBFF4B4-E1BB-4CC1-8ED0-7E4EED89A28F}">
      <formula1>0</formula1>
      <formula2>#REF!/2</formula2>
    </dataValidation>
    <dataValidation type="whole" allowBlank="1" showInputMessage="1" showErrorMessage="1" sqref="C14:D14" xr:uid="{927581D0-6C39-4C6F-A2A1-5FE3A719EA90}">
      <formula1>0</formula1>
      <formula2>D15/2</formula2>
    </dataValidation>
    <dataValidation type="whole" allowBlank="1" showInputMessage="1" showErrorMessage="1" sqref="C13:D13" xr:uid="{019DC2C5-47F5-4533-9565-AB338806332F}">
      <formula1>0</formula1>
      <formula2>D5/2</formula2>
    </dataValidation>
    <dataValidation type="whole" allowBlank="1" showInputMessage="1" showErrorMessage="1" sqref="C11:D11" xr:uid="{FB6CD442-FD72-401E-8D48-CC0DE4922BD6}">
      <formula1>0</formula1>
      <formula2>D4/2</formula2>
    </dataValidation>
    <dataValidation type="whole" allowBlank="1" showInputMessage="1" showErrorMessage="1" error="Must be whole number between -6 and +12" sqref="B14" xr:uid="{C55C5663-B62A-463C-B4DD-39B0E0E3B86E}">
      <formula1>-6</formula1>
      <formula2>12</formula2>
    </dataValidation>
    <dataValidation type="list" allowBlank="1" showInputMessage="1" showErrorMessage="1" sqref="B16" xr:uid="{8DC5E18B-B3D0-49DD-9C4B-9E0894A7A35B}">
      <formula1>"No,1X,2X,3X"</formula1>
    </dataValidation>
    <dataValidation type="list" allowBlank="1" showInputMessage="1" showErrorMessage="1" sqref="B15" xr:uid="{38A24055-3761-4C45-9C43-7C5099C3F4D8}">
      <formula1>"FALSE,TRUE"</formula1>
    </dataValidation>
    <dataValidation type="list" allowBlank="1" showInputMessage="1" showErrorMessage="1" sqref="D73:D90 B66" xr:uid="{6AEEB34A-6DC8-4334-9A7E-3A2BA50EFC65}">
      <formula1>"0,1,2,3"</formula1>
    </dataValidation>
    <dataValidation type="list" allowBlank="1" showInputMessage="1" showErrorMessage="1" sqref="B13" xr:uid="{D10EB6EE-5244-45D7-A768-477F93298C2F}">
      <formula1>"0,1,2,3,4"</formula1>
    </dataValidation>
    <dataValidation type="list" allowBlank="1" showInputMessage="1" showErrorMessage="1" sqref="B27:B28 B67 B8" xr:uid="{437B97FA-F599-41A9-89E9-FF57612514F9}">
      <formula1>"TRUE,FALSE"</formula1>
    </dataValidation>
    <dataValidation type="whole" allowBlank="1" showInputMessage="1" showErrorMessage="1" error="Max Manipulator Size = Chassis Size +2_x000a_Min Manipulator Size = 0_x000a_Whole Numbers Only" sqref="B19:B26" xr:uid="{485328E4-1262-43D8-BC3E-394D8CA678D3}">
      <formula1>0</formula1>
      <formula2>$B$4+2</formula2>
    </dataValidation>
    <dataValidation type="list" allowBlank="1" showInputMessage="1" showErrorMessage="1" sqref="O2" xr:uid="{91D68BD0-C96E-4215-B1F9-CDB26A83A38D}">
      <formula1>"7,8,9,10,11,12,13,14,15,16,17,18"</formula1>
    </dataValidation>
    <dataValidation type="list" allowBlank="1" showInputMessage="1" showErrorMessage="1" sqref="B4" xr:uid="{58650689-D92D-4C05-853E-97E302C73AE2}">
      <formula1>"0,1,2,3,4,5,6,7,8"</formula1>
    </dataValidation>
    <dataValidation type="list" allowBlank="1" showInputMessage="1" showErrorMessage="1" error="Maximum = 3" sqref="B9" xr:uid="{0C1E9176-0C54-4B28-9594-8555E36B5988}">
      <formula1>"0,1,2,3"</formula1>
    </dataValidation>
    <dataValidation type="whole" allowBlank="1" showInputMessage="1" showErrorMessage="1" sqref="E11" xr:uid="{C0A1D47A-7023-426D-90D5-09B3E1FC3907}">
      <formula1>0</formula1>
      <formula2>J4/2</formula2>
    </dataValidation>
    <dataValidation type="whole" allowBlank="1" showInputMessage="1" showErrorMessage="1" error="Must be whole number. No more than 50% of slots may be used for Resiliency" sqref="B10" xr:uid="{30E1E2FE-112C-47B7-A28E-2F36993C5373}">
      <formula1>0</formula1>
      <formula2>E4/2</formula2>
    </dataValidation>
    <dataValidation type="whole" allowBlank="1" showInputMessage="1" showErrorMessage="1" error="Must be a negative number no less than a 50% of the base hits" sqref="B11" xr:uid="{B44B0340-64AD-4AD4-9565-772D6EB5C929}">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9975EB1C-D1B0-40CE-AE0B-947713A5D762}">
          <x14:formula1>
            <xm:f>Brains!$K$3:$K$16</xm:f>
          </x14:formula1>
          <xm:sqref>B65</xm:sqref>
        </x14:dataValidation>
        <x14:dataValidation type="list" allowBlank="1" showInputMessage="1" showErrorMessage="1" xr:uid="{1ECE79C3-1476-43DD-940D-0391434B5A9F}">
          <x14:formula1>
            <xm:f>Packages!$B$23:$B$25</xm:f>
          </x14:formula1>
          <xm:sqref>B71</xm:sqref>
        </x14:dataValidation>
        <x14:dataValidation type="list" allowBlank="1" showInputMessage="1" showErrorMessage="1" xr:uid="{25612726-EB31-4EFF-AB00-254CAD684FB4}">
          <x14:formula1>
            <xm:f>Packages!$B$3:$B$7</xm:f>
          </x14:formula1>
          <xm:sqref>B69</xm:sqref>
        </x14:dataValidation>
        <x14:dataValidation type="list" allowBlank="1" showInputMessage="1" showErrorMessage="1" xr:uid="{D4F04F56-63F4-40F0-8DE0-0C5415E63FDF}">
          <x14:formula1>
            <xm:f>Brains!$B$3:$B$19</xm:f>
          </x14:formula1>
          <xm:sqref>B64</xm:sqref>
        </x14:dataValidation>
        <x14:dataValidation type="list" allowBlank="1" showInputMessage="1" showErrorMessage="1" xr:uid="{0BDAAA51-0987-47F7-B1EF-8B83C88BA7F6}">
          <x14:formula1>
            <xm:f>Packages!$B$11:$B$19</xm:f>
          </x14:formula1>
          <xm:sqref>B70</xm:sqref>
        </x14:dataValidation>
        <x14:dataValidation type="list" allowBlank="1" showInputMessage="1" showErrorMessage="1" xr:uid="{15A9C4B8-7C06-43CF-8133-04D067A822B6}">
          <x14:formula1>
            <xm:f>Chassis!$H$3:$H$13</xm:f>
          </x14:formula1>
          <xm:sqref>B17 B5</xm:sqref>
        </x14:dataValidation>
        <x14:dataValidation type="list" allowBlank="1" showInputMessage="1" showErrorMessage="1" xr:uid="{E4D774D6-B23C-4BFD-A9BD-ED5CD3976292}">
          <x14:formula1>
            <xm:f>Packages!$B$29:$B$82</xm:f>
          </x14:formula1>
          <xm:sqref>A73:A90</xm:sqref>
        </x14:dataValidation>
        <x14:dataValidation type="list" allowBlank="1" showInputMessage="1" showErrorMessage="1" xr:uid="{463C60AF-3CAE-46D3-A594-82A66AD602E3}">
          <x14:formula1>
            <xm:f>Options!$C$9:$C$71</xm:f>
          </x14:formula1>
          <xm:sqref>A30:A34</xm:sqref>
        </x14:dataValidation>
        <x14:dataValidation type="list" allowBlank="1" showInputMessage="1" showErrorMessage="1" xr:uid="{8938C174-1515-40CE-8187-5442E3753B6C}">
          <x14:formula1>
            <xm:f>Options!$C$9:$C$256</xm:f>
          </x14:formula1>
          <xm:sqref>A36:A56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3A18-0BF3-4901-B413-DC10C3ECEC37}">
  <sheetPr>
    <tabColor rgb="FF92D050"/>
  </sheetPr>
  <dimension ref="A1:Z96"/>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827</v>
      </c>
      <c r="C2" s="204"/>
      <c r="D2" s="205"/>
      <c r="E2" s="36">
        <f>SUM(E5:E90)+E4</f>
        <v>0</v>
      </c>
      <c r="F2" s="206" t="s">
        <v>184</v>
      </c>
      <c r="G2" s="207"/>
      <c r="H2" s="208"/>
      <c r="I2" s="203" t="s">
        <v>776</v>
      </c>
      <c r="J2" s="204"/>
      <c r="K2" s="204"/>
      <c r="L2" s="204"/>
      <c r="M2" s="204"/>
      <c r="N2" s="79" t="s">
        <v>315</v>
      </c>
      <c r="O2" s="37">
        <v>12</v>
      </c>
      <c r="P2" s="151">
        <f>Z6</f>
        <v>68000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19</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Improved AutoBerth</v>
      </c>
      <c r="S6" s="144">
        <f>M11</f>
        <v>50</v>
      </c>
      <c r="T6" s="144" t="str">
        <f>B5</f>
        <v>None</v>
      </c>
      <c r="U6" s="144" t="str">
        <f>_xlfn.CONCAT(J14," m")</f>
        <v>0 m</v>
      </c>
      <c r="V6" s="145">
        <f>O2</f>
        <v>12</v>
      </c>
      <c r="W6" s="148">
        <f>P91</f>
        <v>75650</v>
      </c>
      <c r="X6" s="152">
        <f>IF(I2="Standard Design",0.1,0)</f>
        <v>0.1</v>
      </c>
      <c r="Y6" s="153">
        <v>2</v>
      </c>
      <c r="Z6" s="148">
        <f>FLOOR(P91*(1-X6),100)</f>
        <v>68000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2,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648</v>
      </c>
      <c r="K9" s="177" t="s">
        <v>64</v>
      </c>
      <c r="L9" s="178"/>
      <c r="M9" s="179"/>
      <c r="O9" s="5" t="str">
        <f>IF(B9&gt;0,_xlfn.CONCAT("Athletics (endurance) ",B9,", "),"")</f>
        <v/>
      </c>
      <c r="P9" s="137">
        <f>-500*E9</f>
        <v>0</v>
      </c>
      <c r="R9" s="116" t="s">
        <v>49</v>
      </c>
      <c r="S9" s="162" t="str">
        <f>IF(COUNT(B19:B26)=0,"none",_xlfn.CONCAT(COUNT(B19:B26), " X (STR ",H19," DEX ",L19,")"))</f>
        <v>1 X (STR 5 DEX 7)</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648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(+4),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8)</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(enhanced), Storage Compartment (refrigerated), Storage Compartment (standard),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648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7</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15</v>
      </c>
      <c r="K19" s="16">
        <v>0</v>
      </c>
      <c r="L19" s="61">
        <f t="shared" ref="L19:L28" si="5">D19+K19</f>
        <v>7</v>
      </c>
      <c r="M19" s="62">
        <f t="shared" ref="M19:M28" si="6">IF(L19&gt;17,4,IF(L19&gt;14,3,IF(L19&gt;11,2,IF(L19&gt;8,1,IF(L19&gt;5,0,IF(L19&gt;2,-1,-2))))))</f>
        <v>0</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15</v>
      </c>
      <c r="K20" s="16"/>
      <c r="L20" s="6">
        <f t="shared" si="5"/>
        <v>0</v>
      </c>
      <c r="M20" s="21">
        <f t="shared" si="6"/>
        <v>-2</v>
      </c>
      <c r="O20" s="5" t="str">
        <f t="shared" si="7"/>
        <v/>
      </c>
      <c r="P20" s="137">
        <f>IF((B20-$B$4)*100&gt;-0.2*$P$5,(B20-$B$4)*100,-0.2*$P$5)+B20*100*(G20)^2+B20*200*(K20)^2</f>
        <v>-700</v>
      </c>
      <c r="R20" s="232" t="s">
        <v>855</v>
      </c>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15</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15</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15</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15</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15</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15</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15</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15</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202</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2 max skill</v>
      </c>
      <c r="I39" s="200"/>
      <c r="J39" s="200"/>
      <c r="K39" s="44">
        <f>_xlfn.XLOOKUP(A39,OptionsTable[Name],OptionsTable[TL],,,)</f>
        <v>12</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5000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471</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-31</v>
      </c>
      <c r="F41" s="38">
        <f>IF(_xlfn.XLOOKUP(A41,OptionsTable[Name],OptionsTable[xS],,,)=FALSE,1,IF($B$4&gt;0,$E$4,1))</f>
        <v>1</v>
      </c>
      <c r="G41" s="58">
        <v>31</v>
      </c>
      <c r="H41" s="199" t="str">
        <f>IF(_xlfn.XLOOKUP(A41,OptionsTable[Name],OptionsTable[Notes],,,)="","",_xlfn.XLOOKUP(A41,OptionsTable[Name],OptionsTable[Notes],,,))</f>
        <v>2 kg or litres / slot</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1550</v>
      </c>
      <c r="R41" s="191"/>
      <c r="S41" s="192"/>
      <c r="T41" s="192"/>
      <c r="U41" s="192"/>
      <c r="V41" s="192"/>
      <c r="W41" s="192"/>
      <c r="X41" s="192"/>
      <c r="Y41" s="192"/>
      <c r="Z41" s="193"/>
    </row>
    <row r="42" spans="1:26" ht="12" customHeight="1" x14ac:dyDescent="0.35">
      <c r="A42" s="220"/>
      <c r="B42" s="221"/>
      <c r="C42" s="221"/>
      <c r="D42" s="22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ref="L42:L43" si="11">IF(LEFT(A42,7)="Android",1,IF(LEFT(A42,16)="Biological Robot", 1,""))</f>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220"/>
      <c r="B43" s="221"/>
      <c r="C43" s="221"/>
      <c r="D43" s="22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1"/>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220"/>
      <c r="B44" s="221"/>
      <c r="C44" s="221"/>
      <c r="D44" s="22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220"/>
      <c r="B45" s="221"/>
      <c r="C45" s="221"/>
      <c r="D45" s="22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220"/>
      <c r="B46" s="221"/>
      <c r="C46" s="221"/>
      <c r="D46" s="22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220"/>
      <c r="B47" s="221"/>
      <c r="C47" s="221"/>
      <c r="D47" s="22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220"/>
      <c r="B48" s="221"/>
      <c r="C48" s="221"/>
      <c r="D48" s="22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220"/>
      <c r="B49" s="221"/>
      <c r="C49" s="221"/>
      <c r="D49" s="22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220"/>
      <c r="B50" s="221"/>
      <c r="C50" s="221"/>
      <c r="D50" s="22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220"/>
      <c r="B51" s="221"/>
      <c r="C51" s="221"/>
      <c r="D51" s="22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220"/>
      <c r="B52" s="221"/>
      <c r="C52" s="221"/>
      <c r="D52" s="22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220"/>
      <c r="B53" s="221"/>
      <c r="C53" s="221"/>
      <c r="D53" s="22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220"/>
      <c r="B54" s="221"/>
      <c r="C54" s="221"/>
      <c r="D54" s="22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220"/>
      <c r="B55" s="221"/>
      <c r="C55" s="221"/>
      <c r="D55" s="22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220"/>
      <c r="B56" s="221"/>
      <c r="C56" s="221"/>
      <c r="D56" s="22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2</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8</v>
      </c>
      <c r="I66" s="15">
        <f>IF(H66&gt;17,4,IF(H66&gt;14,3,IF(H66&gt;11,2,IF(H66&gt;8,1,IF(H66&gt;5,0,IF(H66&gt;2,-1,-2))))))</f>
        <v>0</v>
      </c>
      <c r="K66" s="44"/>
      <c r="L66" s="56">
        <f>L65+F66</f>
        <v>2</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2,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75650</v>
      </c>
    </row>
    <row r="92" spans="1:16" ht="12" customHeight="1" thickBot="1" x14ac:dyDescent="0.45">
      <c r="B92" s="114"/>
      <c r="D92" s="113"/>
      <c r="E92" s="113"/>
      <c r="O92" s="149" t="str">
        <f>CONCATENATE("Cost With "&amp;X6*100 &amp; "% Discount")</f>
        <v>Cost With 10% Discount</v>
      </c>
      <c r="P92" s="147">
        <f>P2</f>
        <v>68000</v>
      </c>
    </row>
    <row r="93" spans="1:16" ht="12" customHeight="1" x14ac:dyDescent="0.35">
      <c r="A93" s="7"/>
    </row>
    <row r="94" spans="1:16" ht="12" customHeight="1" x14ac:dyDescent="0.35">
      <c r="B94" s="110"/>
    </row>
    <row r="95" spans="1:16" ht="12" customHeight="1" x14ac:dyDescent="0.4">
      <c r="B95" s="111"/>
    </row>
    <row r="96" spans="1:16" ht="12" customHeight="1" x14ac:dyDescent="0.35">
      <c r="A96" s="110"/>
      <c r="B96" s="112"/>
    </row>
  </sheetData>
  <dataConsolidate/>
  <mergeCells count="113">
    <mergeCell ref="G5:I5"/>
    <mergeCell ref="H6:N6"/>
    <mergeCell ref="G7:I7"/>
    <mergeCell ref="G8:I8"/>
    <mergeCell ref="K8:M8"/>
    <mergeCell ref="G9:I9"/>
    <mergeCell ref="A32:D32"/>
    <mergeCell ref="H32:J32"/>
    <mergeCell ref="G10:H10"/>
    <mergeCell ref="K10:M10"/>
    <mergeCell ref="G11:H11"/>
    <mergeCell ref="K11:L11"/>
    <mergeCell ref="K9:M9"/>
    <mergeCell ref="A30:D30"/>
    <mergeCell ref="H30:J30"/>
    <mergeCell ref="B2:D2"/>
    <mergeCell ref="F2:H2"/>
    <mergeCell ref="I2:M2"/>
    <mergeCell ref="G3:J3"/>
    <mergeCell ref="G4:I4"/>
    <mergeCell ref="K4:L4"/>
    <mergeCell ref="A41:D41"/>
    <mergeCell ref="H41:J41"/>
    <mergeCell ref="A43:D43"/>
    <mergeCell ref="H43:J43"/>
    <mergeCell ref="G12:O12"/>
    <mergeCell ref="B29:D29"/>
    <mergeCell ref="H29:J29"/>
    <mergeCell ref="A37:D37"/>
    <mergeCell ref="H37:J37"/>
    <mergeCell ref="A38:D38"/>
    <mergeCell ref="H38:J38"/>
    <mergeCell ref="A33:D33"/>
    <mergeCell ref="H33:J33"/>
    <mergeCell ref="A34:D34"/>
    <mergeCell ref="H34:J34"/>
    <mergeCell ref="H35:J35"/>
    <mergeCell ref="A36:D36"/>
    <mergeCell ref="H36:J36"/>
    <mergeCell ref="A40:D40"/>
    <mergeCell ref="H40:J40"/>
    <mergeCell ref="A31:D31"/>
    <mergeCell ref="H31:J31"/>
    <mergeCell ref="A46:D46"/>
    <mergeCell ref="H46:J46"/>
    <mergeCell ref="A47:D47"/>
    <mergeCell ref="H47:J47"/>
    <mergeCell ref="A48:D48"/>
    <mergeCell ref="H48:J48"/>
    <mergeCell ref="A42:D42"/>
    <mergeCell ref="H42:J42"/>
    <mergeCell ref="A44:D44"/>
    <mergeCell ref="H44:J44"/>
    <mergeCell ref="A45:D45"/>
    <mergeCell ref="H45:J45"/>
    <mergeCell ref="A39:D39"/>
    <mergeCell ref="H39:J39"/>
    <mergeCell ref="A52:D52"/>
    <mergeCell ref="H52:J52"/>
    <mergeCell ref="A53:D53"/>
    <mergeCell ref="H53:J53"/>
    <mergeCell ref="A54:D54"/>
    <mergeCell ref="H54:J54"/>
    <mergeCell ref="A49:D49"/>
    <mergeCell ref="H49:J49"/>
    <mergeCell ref="A50:D50"/>
    <mergeCell ref="H50:J50"/>
    <mergeCell ref="A51:D51"/>
    <mergeCell ref="H51:J51"/>
    <mergeCell ref="H59:I59"/>
    <mergeCell ref="A60:D60"/>
    <mergeCell ref="H60:I60"/>
    <mergeCell ref="A61:D61"/>
    <mergeCell ref="H61:I61"/>
    <mergeCell ref="A55:D55"/>
    <mergeCell ref="H55:J55"/>
    <mergeCell ref="A56:D56"/>
    <mergeCell ref="H56:J56"/>
    <mergeCell ref="A57:D57"/>
    <mergeCell ref="H57:J57"/>
    <mergeCell ref="B78:C78"/>
    <mergeCell ref="B79:C79"/>
    <mergeCell ref="B64:D64"/>
    <mergeCell ref="B65:D65"/>
    <mergeCell ref="B69:D69"/>
    <mergeCell ref="B70:D70"/>
    <mergeCell ref="B71:D71"/>
    <mergeCell ref="B73:C73"/>
    <mergeCell ref="A59:D59"/>
    <mergeCell ref="R20:Z75"/>
    <mergeCell ref="B89:C89"/>
    <mergeCell ref="B90:C90"/>
    <mergeCell ref="R13:R17"/>
    <mergeCell ref="S7:Z7"/>
    <mergeCell ref="S8:Z8"/>
    <mergeCell ref="S9:Z9"/>
    <mergeCell ref="S10:Z10"/>
    <mergeCell ref="S11:Z11"/>
    <mergeCell ref="S12:Z12"/>
    <mergeCell ref="S13:Z17"/>
    <mergeCell ref="B86:C86"/>
    <mergeCell ref="B87:C87"/>
    <mergeCell ref="B88:C88"/>
    <mergeCell ref="B80:C80"/>
    <mergeCell ref="B81:C81"/>
    <mergeCell ref="B82:C82"/>
    <mergeCell ref="B83:C83"/>
    <mergeCell ref="B84:C84"/>
    <mergeCell ref="B85:C85"/>
    <mergeCell ref="B74:C74"/>
    <mergeCell ref="B75:C75"/>
    <mergeCell ref="B76:C76"/>
    <mergeCell ref="B77:C77"/>
  </mergeCells>
  <conditionalFormatting sqref="B14">
    <cfRule type="expression" dxfId="182" priority="7">
      <formula>ABS($J$14-6) &gt; 6</formula>
    </cfRule>
  </conditionalFormatting>
  <conditionalFormatting sqref="E2">
    <cfRule type="expression" dxfId="181" priority="5">
      <formula>$E$2&lt;0</formula>
    </cfRule>
  </conditionalFormatting>
  <conditionalFormatting sqref="E15:E17">
    <cfRule type="expression" dxfId="180" priority="1">
      <formula>AND($B$4=0,E15&lt;0)</formula>
    </cfRule>
  </conditionalFormatting>
  <conditionalFormatting sqref="K5 K30:K34 K59:K61 K64:K67 K73:K90">
    <cfRule type="expression" dxfId="179" priority="6">
      <formula>K5&gt;$O$2</formula>
    </cfRule>
  </conditionalFormatting>
  <conditionalFormatting sqref="K36:K57">
    <cfRule type="expression" dxfId="178" priority="3">
      <formula>K36&gt;$O$2</formula>
    </cfRule>
  </conditionalFormatting>
  <conditionalFormatting sqref="L57">
    <cfRule type="expression" dxfId="177" priority="2">
      <formula>L57&gt;$O$2</formula>
    </cfRule>
  </conditionalFormatting>
  <conditionalFormatting sqref="L67">
    <cfRule type="expression" dxfId="176" priority="4">
      <formula>L67&lt;0</formula>
    </cfRule>
  </conditionalFormatting>
  <dataValidations count="20">
    <dataValidation type="whole" allowBlank="1" showInputMessage="1" showErrorMessage="1" error="Total Armour cannot exceed Maximum" sqref="B7" xr:uid="{F765D1C6-9A59-4879-BE67-80CD74124455}">
      <formula1>-1</formula1>
      <formula2>L7-MID(A7,18,1)</formula2>
    </dataValidation>
    <dataValidation type="whole" allowBlank="1" showInputMessage="1" showErrorMessage="1" error="Max DEX = TL+3" sqref="K19:K28" xr:uid="{A89D620D-31A2-4D9C-A972-BC199CDDA7B2}">
      <formula1>0</formula1>
      <formula2>J19-D19</formula2>
    </dataValidation>
    <dataValidation type="whole" allowBlank="1" showInputMessage="1" showErrorMessage="1" error="Max STR = Lesser of Size + TL or SIZE X 4" sqref="G19:G28" xr:uid="{0E5C65EE-B5A1-407B-A0D0-F4292DD4895B}">
      <formula1>0</formula1>
      <formula2>F19-C19</formula2>
    </dataValidation>
    <dataValidation type="whole" allowBlank="1" showInputMessage="1" showErrorMessage="1" sqref="E13:E14" xr:uid="{D64F96A2-BEA3-4098-8333-60AD50B99192}">
      <formula1>0</formula1>
      <formula2>#REF!/2</formula2>
    </dataValidation>
    <dataValidation type="whole" allowBlank="1" showInputMessage="1" showErrorMessage="1" sqref="C14:D14" xr:uid="{9C4437B3-EF12-431C-BD92-569A645D1193}">
      <formula1>0</formula1>
      <formula2>D15/2</formula2>
    </dataValidation>
    <dataValidation type="whole" allowBlank="1" showInputMessage="1" showErrorMessage="1" sqref="C13:D13" xr:uid="{73C21E7B-CFC3-45C8-A6F6-A66D97DC40D5}">
      <formula1>0</formula1>
      <formula2>D5/2</formula2>
    </dataValidation>
    <dataValidation type="whole" allowBlank="1" showInputMessage="1" showErrorMessage="1" sqref="C11:D11" xr:uid="{18587CF1-72F4-4428-AFE9-A373A6BA0AD9}">
      <formula1>0</formula1>
      <formula2>D4/2</formula2>
    </dataValidation>
    <dataValidation type="whole" allowBlank="1" showInputMessage="1" showErrorMessage="1" error="Must be whole number between -6 and +12" sqref="B14" xr:uid="{CA901A01-EDA2-45F9-A4BF-03E2AE32FE3E}">
      <formula1>-6</formula1>
      <formula2>12</formula2>
    </dataValidation>
    <dataValidation type="list" allowBlank="1" showInputMessage="1" showErrorMessage="1" sqref="B16" xr:uid="{05785E3E-D40E-4126-8288-CE1E90720CF7}">
      <formula1>"No,1X,2X,3X"</formula1>
    </dataValidation>
    <dataValidation type="list" allowBlank="1" showInputMessage="1" showErrorMessage="1" sqref="B15" xr:uid="{9ECC8020-761C-4C2F-B36E-2F5E88F9D0A7}">
      <formula1>"FALSE,TRUE"</formula1>
    </dataValidation>
    <dataValidation type="list" allowBlank="1" showInputMessage="1" showErrorMessage="1" sqref="D73:D90 B66" xr:uid="{8741EFBE-DDF4-4F71-8D83-56ED65D494AA}">
      <formula1>"0,1,2,3"</formula1>
    </dataValidation>
    <dataValidation type="list" allowBlank="1" showInputMessage="1" showErrorMessage="1" sqref="B13" xr:uid="{395E467D-E168-4F9C-883E-F844C7B26C85}">
      <formula1>"0,1,2,3,4"</formula1>
    </dataValidation>
    <dataValidation type="list" allowBlank="1" showInputMessage="1" showErrorMessage="1" sqref="B27:B28 B67 B8" xr:uid="{EB05490F-05CA-4BB2-884A-BA282D1E99DC}">
      <formula1>"TRUE,FALSE"</formula1>
    </dataValidation>
    <dataValidation type="whole" allowBlank="1" showInputMessage="1" showErrorMessage="1" error="Max Manipulator Size = Chassis Size +2_x000a_Min Manipulator Size = 0_x000a_Whole Numbers Only" sqref="B19:B26" xr:uid="{66540B3F-D2A0-4051-BD95-16584793BDDB}">
      <formula1>0</formula1>
      <formula2>$B$4+2</formula2>
    </dataValidation>
    <dataValidation type="list" allowBlank="1" showInputMessage="1" showErrorMessage="1" sqref="O2" xr:uid="{68C9F9C4-C60D-49C9-B199-DBE1B2B86335}">
      <formula1>"7,8,9,10,11,12,13,14,15,16,17,18"</formula1>
    </dataValidation>
    <dataValidation type="list" allowBlank="1" showInputMessage="1" showErrorMessage="1" sqref="B4" xr:uid="{8ED20C21-A296-4995-92D9-55BF032DDB07}">
      <formula1>"0,1,2,3,4,5,6,7,8"</formula1>
    </dataValidation>
    <dataValidation type="list" allowBlank="1" showInputMessage="1" showErrorMessage="1" error="Maximum = 3" sqref="B9" xr:uid="{B127BAF2-64D2-460A-BDD4-D16CB3D93BF2}">
      <formula1>"0,1,2,3"</formula1>
    </dataValidation>
    <dataValidation type="whole" allowBlank="1" showInputMessage="1" showErrorMessage="1" sqref="E11" xr:uid="{AC35A15E-D170-4E82-9A6B-AEE6E7C31B96}">
      <formula1>0</formula1>
      <formula2>J4/2</formula2>
    </dataValidation>
    <dataValidation type="whole" allowBlank="1" showInputMessage="1" showErrorMessage="1" error="Must be whole number. No more than 50% of slots may be used for Resiliency" sqref="B10" xr:uid="{20825D3B-1166-4F81-8E1C-94B64D0C0F5F}">
      <formula1>0</formula1>
      <formula2>E4/2</formula2>
    </dataValidation>
    <dataValidation type="whole" allowBlank="1" showInputMessage="1" showErrorMessage="1" error="Must be a negative number no less than a 50% of the base hits" sqref="B11" xr:uid="{9FDDCD57-454C-4066-9FD3-1E6D2F684D18}">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F5107B3-C12B-40EF-9C25-282449DF5004}">
          <x14:formula1>
            <xm:f>Packages!$B$29:$B$82</xm:f>
          </x14:formula1>
          <xm:sqref>A73:A90</xm:sqref>
        </x14:dataValidation>
        <x14:dataValidation type="list" allowBlank="1" showInputMessage="1" showErrorMessage="1" xr:uid="{22ABBFBF-F088-4301-820B-6A1D854AE73E}">
          <x14:formula1>
            <xm:f>Brains!$K$3:$K$16</xm:f>
          </x14:formula1>
          <xm:sqref>B65</xm:sqref>
        </x14:dataValidation>
        <x14:dataValidation type="list" allowBlank="1" showInputMessage="1" showErrorMessage="1" xr:uid="{880B3ADC-5B17-456C-AD3D-64A903397D39}">
          <x14:formula1>
            <xm:f>Packages!$B$23:$B$25</xm:f>
          </x14:formula1>
          <xm:sqref>B71</xm:sqref>
        </x14:dataValidation>
        <x14:dataValidation type="list" allowBlank="1" showInputMessage="1" showErrorMessage="1" xr:uid="{9A71CC68-CFB1-4B92-A338-C4F571C173B4}">
          <x14:formula1>
            <xm:f>Packages!$B$3:$B$7</xm:f>
          </x14:formula1>
          <xm:sqref>B69</xm:sqref>
        </x14:dataValidation>
        <x14:dataValidation type="list" allowBlank="1" showInputMessage="1" showErrorMessage="1" xr:uid="{F079437B-8C87-48B1-8B2E-B0981650CF4E}">
          <x14:formula1>
            <xm:f>Brains!$B$3:$B$19</xm:f>
          </x14:formula1>
          <xm:sqref>B64</xm:sqref>
        </x14:dataValidation>
        <x14:dataValidation type="list" allowBlank="1" showInputMessage="1" showErrorMessage="1" xr:uid="{35A7CB7B-99E7-45E7-8E08-6DABA30B6CD4}">
          <x14:formula1>
            <xm:f>Packages!$B$11:$B$19</xm:f>
          </x14:formula1>
          <xm:sqref>B70</xm:sqref>
        </x14:dataValidation>
        <x14:dataValidation type="list" allowBlank="1" showInputMessage="1" showErrorMessage="1" xr:uid="{F00A58C3-EDB2-4724-84CE-66967AEB1103}">
          <x14:formula1>
            <xm:f>Chassis!$H$3:$H$13</xm:f>
          </x14:formula1>
          <xm:sqref>B17 B5</xm:sqref>
        </x14:dataValidation>
        <x14:dataValidation type="list" allowBlank="1" showInputMessage="1" showErrorMessage="1" xr:uid="{C54E0E42-A083-4C64-A52D-0A8717EC1219}">
          <x14:formula1>
            <xm:f>Options!$C$9:$C$71</xm:f>
          </x14:formula1>
          <xm:sqref>A30:A34</xm:sqref>
        </x14:dataValidation>
        <x14:dataValidation type="list" allowBlank="1" showInputMessage="1" showErrorMessage="1" xr:uid="{0204F780-25A9-4D23-9D59-7D56194277E3}">
          <x14:formula1>
            <xm:f>Options!$C$9:$C$256</xm:f>
          </x14:formula1>
          <xm:sqref>A36:A56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858E-7714-4D3B-9FFC-A0FE2284168C}">
  <sheetPr>
    <tabColor rgb="FF92D050"/>
  </sheetPr>
  <dimension ref="A1:Z92"/>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826</v>
      </c>
      <c r="C2" s="204"/>
      <c r="D2" s="205"/>
      <c r="E2" s="36">
        <f>SUM(E5:E90)+E4</f>
        <v>0</v>
      </c>
      <c r="F2" s="206" t="s">
        <v>184</v>
      </c>
      <c r="G2" s="207"/>
      <c r="H2" s="208"/>
      <c r="I2" s="203" t="s">
        <v>776</v>
      </c>
      <c r="J2" s="204"/>
      <c r="K2" s="204"/>
      <c r="L2" s="204"/>
      <c r="M2" s="204"/>
      <c r="N2" s="79" t="s">
        <v>315</v>
      </c>
      <c r="O2" s="37">
        <v>14</v>
      </c>
      <c r="P2" s="151">
        <f>Z6</f>
        <v>85100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21</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Enhanced AutoBerth</v>
      </c>
      <c r="S6" s="144">
        <f>M11</f>
        <v>50</v>
      </c>
      <c r="T6" s="144" t="str">
        <f>B5</f>
        <v>None</v>
      </c>
      <c r="U6" s="144" t="str">
        <f>_xlfn.CONCAT(J14," m")</f>
        <v>0 m</v>
      </c>
      <c r="V6" s="145">
        <f>O2</f>
        <v>14</v>
      </c>
      <c r="W6" s="148">
        <f>P91</f>
        <v>94600</v>
      </c>
      <c r="X6" s="152">
        <f>IF(I2="Standard Design",0.1,0)</f>
        <v>0.1</v>
      </c>
      <c r="Y6" s="153">
        <v>2</v>
      </c>
      <c r="Z6" s="148">
        <f>FLOOR(P91*(1-X6),100)</f>
        <v>85100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3,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648</v>
      </c>
      <c r="K9" s="177" t="s">
        <v>64</v>
      </c>
      <c r="L9" s="178"/>
      <c r="M9" s="179"/>
      <c r="O9" s="5" t="str">
        <f>IF(B9&gt;0,_xlfn.CONCAT("Athletics (endurance) ",B9,", "),"")</f>
        <v/>
      </c>
      <c r="P9" s="137">
        <f>-500*E9</f>
        <v>0</v>
      </c>
      <c r="R9" s="116" t="s">
        <v>49</v>
      </c>
      <c r="S9" s="162" t="str">
        <f>IF(COUNT(B19:B26)=0,"none",_xlfn.CONCAT(COUNT(B19:B26), " X (STR ",H19," DEX ",L19,")"))</f>
        <v>1 X (STR 5 DEX 8)</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648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(+4),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Storage Compartment (standard),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648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8</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17</v>
      </c>
      <c r="K19" s="16">
        <v>0</v>
      </c>
      <c r="L19" s="61">
        <f t="shared" ref="L19:L28" si="5">D19+K19</f>
        <v>8</v>
      </c>
      <c r="M19" s="62">
        <f t="shared" ref="M19:M28" si="6">IF(L19&gt;17,4,IF(L19&gt;14,3,IF(L19&gt;11,2,IF(L19&gt;8,1,IF(L19&gt;5,0,IF(L19&gt;2,-1,-2))))))</f>
        <v>0</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17</v>
      </c>
      <c r="K20" s="16"/>
      <c r="L20" s="6">
        <f t="shared" si="5"/>
        <v>0</v>
      </c>
      <c r="M20" s="21">
        <f t="shared" si="6"/>
        <v>-2</v>
      </c>
      <c r="O20" s="5" t="str">
        <f t="shared" si="7"/>
        <v/>
      </c>
      <c r="P20" s="137">
        <f>IF((B20-$B$4)*100&gt;-0.2*$P$5,(B20-$B$4)*100,-0.2*$P$5)+B20*100*(G20)^2+B20*200*(K20)^2</f>
        <v>-700</v>
      </c>
      <c r="R20" s="232" t="s">
        <v>856</v>
      </c>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17</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17</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17</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17</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17</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17</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17</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17</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471</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-30</v>
      </c>
      <c r="F41" s="38">
        <f>IF(_xlfn.XLOOKUP(A41,OptionsTable[Name],OptionsTable[xS],,,)=FALSE,1,IF($B$4&gt;0,$E$4,1))</f>
        <v>1</v>
      </c>
      <c r="G41" s="58">
        <v>30</v>
      </c>
      <c r="H41" s="199" t="str">
        <f>IF(_xlfn.XLOOKUP(A41,OptionsTable[Name],OptionsTable[Notes],,,)="","",_xlfn.XLOOKUP(A41,OptionsTable[Name],OptionsTable[Notes],,,))</f>
        <v>2 kg or litres / slot</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1500</v>
      </c>
      <c r="R41" s="191"/>
      <c r="S41" s="192"/>
      <c r="T41" s="192"/>
      <c r="U41" s="192"/>
      <c r="V41" s="192"/>
      <c r="W41" s="192"/>
      <c r="X41" s="192"/>
      <c r="Y41" s="192"/>
      <c r="Z41" s="193"/>
    </row>
    <row r="42" spans="1:26" ht="12" customHeight="1" x14ac:dyDescent="0.35">
      <c r="A42" s="197"/>
      <c r="B42" s="198"/>
      <c r="C42" s="198"/>
      <c r="D42" s="24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156</v>
      </c>
      <c r="C65" s="198"/>
      <c r="D65" s="198"/>
      <c r="E65" s="40">
        <f>-_xlfn.XLOOKUP(B65,Bandwidth[Minimum Base Brain],Bandwidth[Slots],,,)</f>
        <v>-1</v>
      </c>
      <c r="F65" s="38"/>
      <c r="K65" s="44">
        <f>_xlfn.XLOOKUP(B65,Bandwidth[Minimum Base Brain],Bandwidth[TL],,,)</f>
        <v>10</v>
      </c>
      <c r="L65">
        <f>_xlfn.XLOOKUP(B65,Bandwidth[Minimum Base Brain],Bandwidth[Bandwidth],,,)+L64</f>
        <v>4</v>
      </c>
      <c r="M65" t="s">
        <v>310</v>
      </c>
      <c r="P65" s="137">
        <f>_xlfn.XLOOKUP(B65,Bandwidth[Minimum Base Brain],Bandwidth[Cost],,,)</f>
        <v>5000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9</v>
      </c>
      <c r="I66" s="15">
        <f>IF(H66&gt;17,4,IF(H66&gt;14,3,IF(H66&gt;11,2,IF(H66&gt;8,1,IF(H66&gt;5,0,IF(H66&gt;2,-1,-2))))))</f>
        <v>1</v>
      </c>
      <c r="K66" s="44"/>
      <c r="L66" s="56">
        <f>L65+F66</f>
        <v>3</v>
      </c>
      <c r="M66" t="s">
        <v>310</v>
      </c>
      <c r="P66" s="137" cm="1">
        <f t="array" ref="P66">_xlfn.IFS(B66=0,0,B66=1,(H64+1)*1000,B66=2,(H64+1)*(H64+2)*1000,B66=3,(H64+1)*(H64+2)*(H64+3)*1000)*IF(H66&gt;11,2,1)</f>
        <v>9000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3,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94600</v>
      </c>
    </row>
    <row r="92" spans="1:16" ht="12" customHeight="1" thickBot="1" x14ac:dyDescent="0.45">
      <c r="O92" s="149" t="str">
        <f>CONCATENATE("Cost With "&amp;X6*100 &amp; "% Discount")</f>
        <v>Cost With 10% Discount</v>
      </c>
      <c r="P92" s="147">
        <f>P2</f>
        <v>85100</v>
      </c>
    </row>
  </sheetData>
  <dataConsolidate/>
  <mergeCells count="113">
    <mergeCell ref="B2:D2"/>
    <mergeCell ref="F2:H2"/>
    <mergeCell ref="I2:M2"/>
    <mergeCell ref="G3:J3"/>
    <mergeCell ref="G4:I4"/>
    <mergeCell ref="K4:L4"/>
    <mergeCell ref="A39:D39"/>
    <mergeCell ref="H39:J39"/>
    <mergeCell ref="A40:D40"/>
    <mergeCell ref="H40:J40"/>
    <mergeCell ref="A32:D32"/>
    <mergeCell ref="H32:J32"/>
    <mergeCell ref="G10:H10"/>
    <mergeCell ref="K10:M10"/>
    <mergeCell ref="G11:H11"/>
    <mergeCell ref="K11:L11"/>
    <mergeCell ref="G5:I5"/>
    <mergeCell ref="H6:N6"/>
    <mergeCell ref="G7:I7"/>
    <mergeCell ref="G8:I8"/>
    <mergeCell ref="K8:M8"/>
    <mergeCell ref="G9:I9"/>
    <mergeCell ref="K9:M9"/>
    <mergeCell ref="A41:D41"/>
    <mergeCell ref="H41:J41"/>
    <mergeCell ref="G12:O12"/>
    <mergeCell ref="B29:D29"/>
    <mergeCell ref="H29:J29"/>
    <mergeCell ref="A37:D37"/>
    <mergeCell ref="H37:J37"/>
    <mergeCell ref="A38:D38"/>
    <mergeCell ref="H38:J38"/>
    <mergeCell ref="A33:D33"/>
    <mergeCell ref="H33:J33"/>
    <mergeCell ref="A34:D34"/>
    <mergeCell ref="H34:J34"/>
    <mergeCell ref="H35:J35"/>
    <mergeCell ref="A36:D36"/>
    <mergeCell ref="H36:J36"/>
    <mergeCell ref="A30:D30"/>
    <mergeCell ref="H30:J30"/>
    <mergeCell ref="A31:D31"/>
    <mergeCell ref="H31:J31"/>
    <mergeCell ref="A45:D45"/>
    <mergeCell ref="H45:J45"/>
    <mergeCell ref="A47:D47"/>
    <mergeCell ref="H47:J47"/>
    <mergeCell ref="A48:D48"/>
    <mergeCell ref="H48:J48"/>
    <mergeCell ref="A46:D46"/>
    <mergeCell ref="H46:J46"/>
    <mergeCell ref="A42:D42"/>
    <mergeCell ref="H42:J42"/>
    <mergeCell ref="A43:D43"/>
    <mergeCell ref="H43:J43"/>
    <mergeCell ref="A44:D44"/>
    <mergeCell ref="H44:J44"/>
    <mergeCell ref="A52:D52"/>
    <mergeCell ref="H52:J52"/>
    <mergeCell ref="A53:D53"/>
    <mergeCell ref="H53:J53"/>
    <mergeCell ref="A54:D54"/>
    <mergeCell ref="H54:J54"/>
    <mergeCell ref="A49:D49"/>
    <mergeCell ref="H49:J49"/>
    <mergeCell ref="A50:D50"/>
    <mergeCell ref="H50:J50"/>
    <mergeCell ref="A51:D51"/>
    <mergeCell ref="H51:J51"/>
    <mergeCell ref="H59:I59"/>
    <mergeCell ref="A60:D60"/>
    <mergeCell ref="H60:I60"/>
    <mergeCell ref="A61:D61"/>
    <mergeCell ref="H61:I61"/>
    <mergeCell ref="A55:D55"/>
    <mergeCell ref="H55:J55"/>
    <mergeCell ref="A56:D56"/>
    <mergeCell ref="H56:J56"/>
    <mergeCell ref="A57:D57"/>
    <mergeCell ref="H57:J57"/>
    <mergeCell ref="B78:C78"/>
    <mergeCell ref="B79:C79"/>
    <mergeCell ref="B64:D64"/>
    <mergeCell ref="B65:D65"/>
    <mergeCell ref="B69:D69"/>
    <mergeCell ref="B70:D70"/>
    <mergeCell ref="B71:D71"/>
    <mergeCell ref="B73:C73"/>
    <mergeCell ref="A59:D59"/>
    <mergeCell ref="R20:Z75"/>
    <mergeCell ref="B89:C89"/>
    <mergeCell ref="B90:C90"/>
    <mergeCell ref="R13:R17"/>
    <mergeCell ref="S7:Z7"/>
    <mergeCell ref="S8:Z8"/>
    <mergeCell ref="S9:Z9"/>
    <mergeCell ref="S10:Z10"/>
    <mergeCell ref="S11:Z11"/>
    <mergeCell ref="S12:Z12"/>
    <mergeCell ref="S13:Z17"/>
    <mergeCell ref="B86:C86"/>
    <mergeCell ref="B87:C87"/>
    <mergeCell ref="B88:C88"/>
    <mergeCell ref="B80:C80"/>
    <mergeCell ref="B81:C81"/>
    <mergeCell ref="B82:C82"/>
    <mergeCell ref="B83:C83"/>
    <mergeCell ref="B84:C84"/>
    <mergeCell ref="B85:C85"/>
    <mergeCell ref="B74:C74"/>
    <mergeCell ref="B75:C75"/>
    <mergeCell ref="B76:C76"/>
    <mergeCell ref="B77:C77"/>
  </mergeCells>
  <conditionalFormatting sqref="B14">
    <cfRule type="expression" dxfId="175" priority="7">
      <formula>ABS($J$14-6) &gt; 6</formula>
    </cfRule>
  </conditionalFormatting>
  <conditionalFormatting sqref="E2">
    <cfRule type="expression" dxfId="174" priority="5">
      <formula>$E$2&lt;0</formula>
    </cfRule>
  </conditionalFormatting>
  <conditionalFormatting sqref="E15:E17">
    <cfRule type="expression" dxfId="173" priority="1">
      <formula>AND($B$4=0,E15&lt;0)</formula>
    </cfRule>
  </conditionalFormatting>
  <conditionalFormatting sqref="K5 K30:K34 K59:K61 K64:K67 K73:K90">
    <cfRule type="expression" dxfId="172" priority="6">
      <formula>K5&gt;$O$2</formula>
    </cfRule>
  </conditionalFormatting>
  <conditionalFormatting sqref="K36:K57">
    <cfRule type="expression" dxfId="171" priority="3">
      <formula>K36&gt;$O$2</formula>
    </cfRule>
  </conditionalFormatting>
  <conditionalFormatting sqref="L57">
    <cfRule type="expression" dxfId="170" priority="2">
      <formula>L57&gt;$O$2</formula>
    </cfRule>
  </conditionalFormatting>
  <conditionalFormatting sqref="L67">
    <cfRule type="expression" dxfId="169" priority="4">
      <formula>L67&lt;0</formula>
    </cfRule>
  </conditionalFormatting>
  <dataValidations count="20">
    <dataValidation type="whole" allowBlank="1" showInputMessage="1" showErrorMessage="1" error="Must be a negative number no less than a 50% of the base hits" sqref="B11" xr:uid="{1983A3CA-4E47-492D-9FB1-94165EFB0749}">
      <formula1>-J4/2</formula1>
      <formula2>0</formula2>
    </dataValidation>
    <dataValidation type="whole" allowBlank="1" showInputMessage="1" showErrorMessage="1" error="Must be whole number. No more than 50% of slots may be used for Resiliency" sqref="B10" xr:uid="{0F2E075C-49E4-4F33-9250-6D2584124C62}">
      <formula1>0</formula1>
      <formula2>E4/2</formula2>
    </dataValidation>
    <dataValidation type="whole" allowBlank="1" showInputMessage="1" showErrorMessage="1" sqref="E11" xr:uid="{9DF60832-9784-444C-A767-409091FF38DB}">
      <formula1>0</formula1>
      <formula2>J4/2</formula2>
    </dataValidation>
    <dataValidation type="list" allowBlank="1" showInputMessage="1" showErrorMessage="1" error="Maximum = 3" sqref="B9" xr:uid="{1710267E-AAE0-4C9C-AEF2-35F686904AA6}">
      <formula1>"0,1,2,3"</formula1>
    </dataValidation>
    <dataValidation type="list" allowBlank="1" showInputMessage="1" showErrorMessage="1" sqref="B4" xr:uid="{EDEC461B-3EB5-4AE9-A22E-AE8E17286EBE}">
      <formula1>"0,1,2,3,4,5,6,7,8"</formula1>
    </dataValidation>
    <dataValidation type="list" allowBlank="1" showInputMessage="1" showErrorMessage="1" sqref="O2" xr:uid="{5898A53F-A35A-4168-B5BD-9E018B0B20C7}">
      <formula1>"7,8,9,10,11,12,13,14,15,16,17,18"</formula1>
    </dataValidation>
    <dataValidation type="whole" allowBlank="1" showInputMessage="1" showErrorMessage="1" error="Max Manipulator Size = Chassis Size +2_x000a_Min Manipulator Size = 0_x000a_Whole Numbers Only" sqref="B19:B26" xr:uid="{1FD59192-116F-4969-BD06-158E25995107}">
      <formula1>0</formula1>
      <formula2>$B$4+2</formula2>
    </dataValidation>
    <dataValidation type="list" allowBlank="1" showInputMessage="1" showErrorMessage="1" sqref="B27:B28 B67 B8" xr:uid="{663BF563-37E6-44E5-9489-482CB6F1BCFE}">
      <formula1>"TRUE,FALSE"</formula1>
    </dataValidation>
    <dataValidation type="list" allowBlank="1" showInputMessage="1" showErrorMessage="1" sqref="B13" xr:uid="{A68E10A4-15A0-4BFB-BDB1-4E85BF3130B2}">
      <formula1>"0,1,2,3,4"</formula1>
    </dataValidation>
    <dataValidation type="list" allowBlank="1" showInputMessage="1" showErrorMessage="1" sqref="D73:D90 B66" xr:uid="{E8E63756-04D6-4E00-A535-05C2BC6EB8DF}">
      <formula1>"0,1,2,3"</formula1>
    </dataValidation>
    <dataValidation type="list" allowBlank="1" showInputMessage="1" showErrorMessage="1" sqref="B15" xr:uid="{FC66775E-2A43-4AB1-A532-73397DBFC37C}">
      <formula1>"FALSE,TRUE"</formula1>
    </dataValidation>
    <dataValidation type="list" allowBlank="1" showInputMessage="1" showErrorMessage="1" sqref="B16" xr:uid="{842BEB77-43B0-4DA2-A543-23A49DDD49D0}">
      <formula1>"No,1X,2X,3X"</formula1>
    </dataValidation>
    <dataValidation type="whole" allowBlank="1" showInputMessage="1" showErrorMessage="1" error="Must be whole number between -6 and +12" sqref="B14" xr:uid="{F9AAAC6D-B3B6-4E7C-B853-A34FCB1991D9}">
      <formula1>-6</formula1>
      <formula2>12</formula2>
    </dataValidation>
    <dataValidation type="whole" allowBlank="1" showInputMessage="1" showErrorMessage="1" sqref="C11:D11" xr:uid="{F2274950-2395-4F8A-BF18-BF16D6079746}">
      <formula1>0</formula1>
      <formula2>D4/2</formula2>
    </dataValidation>
    <dataValidation type="whole" allowBlank="1" showInputMessage="1" showErrorMessage="1" sqref="C13:D13" xr:uid="{358A6EE4-8D98-482A-A0FB-27AEE684B221}">
      <formula1>0</formula1>
      <formula2>D5/2</formula2>
    </dataValidation>
    <dataValidation type="whole" allowBlank="1" showInputMessage="1" showErrorMessage="1" sqref="C14:D14" xr:uid="{29A3BE53-FF42-4482-89A5-D37C835A2E52}">
      <formula1>0</formula1>
      <formula2>D15/2</formula2>
    </dataValidation>
    <dataValidation type="whole" allowBlank="1" showInputMessage="1" showErrorMessage="1" sqref="E13:E14" xr:uid="{E7707396-D8AA-4DA4-BB6E-C69798849BD1}">
      <formula1>0</formula1>
      <formula2>#REF!/2</formula2>
    </dataValidation>
    <dataValidation type="whole" allowBlank="1" showInputMessage="1" showErrorMessage="1" error="Max STR = Lesser of Size + TL or SIZE X 4" sqref="G19:G28" xr:uid="{6BD33415-895A-47FE-B010-402F0F2B60AA}">
      <formula1>0</formula1>
      <formula2>F19-C19</formula2>
    </dataValidation>
    <dataValidation type="whole" allowBlank="1" showInputMessage="1" showErrorMessage="1" error="Max DEX = TL+3" sqref="K19:K28" xr:uid="{7968DDE0-7D12-4C45-8B86-61E800C5D2B0}">
      <formula1>0</formula1>
      <formula2>J19-D19</formula2>
    </dataValidation>
    <dataValidation type="whole" allowBlank="1" showInputMessage="1" showErrorMessage="1" error="Total Armour cannot exceed Maximum" sqref="B7" xr:uid="{2331B6FB-37C1-46A4-A37A-E2E302C70595}">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DAD594F6-A00B-4227-80FE-8823E54965EB}">
          <x14:formula1>
            <xm:f>Chassis!$H$3:$H$13</xm:f>
          </x14:formula1>
          <xm:sqref>B17 B5</xm:sqref>
        </x14:dataValidation>
        <x14:dataValidation type="list" allowBlank="1" showInputMessage="1" showErrorMessage="1" xr:uid="{E2BBDF83-1ABA-4D37-8AF9-3AAA49D73C06}">
          <x14:formula1>
            <xm:f>Packages!$B$11:$B$19</xm:f>
          </x14:formula1>
          <xm:sqref>B70</xm:sqref>
        </x14:dataValidation>
        <x14:dataValidation type="list" allowBlank="1" showInputMessage="1" showErrorMessage="1" xr:uid="{8731FC82-20C8-4A05-8F9E-8782164A2552}">
          <x14:formula1>
            <xm:f>Brains!$B$3:$B$19</xm:f>
          </x14:formula1>
          <xm:sqref>B64</xm:sqref>
        </x14:dataValidation>
        <x14:dataValidation type="list" allowBlank="1" showInputMessage="1" showErrorMessage="1" xr:uid="{EC77126E-7F9F-4AF6-9AD2-06AC0673AC77}">
          <x14:formula1>
            <xm:f>Packages!$B$3:$B$7</xm:f>
          </x14:formula1>
          <xm:sqref>B69</xm:sqref>
        </x14:dataValidation>
        <x14:dataValidation type="list" allowBlank="1" showInputMessage="1" showErrorMessage="1" xr:uid="{27BFD0AE-FDEC-4F9E-A3D7-A7AC3948AC8E}">
          <x14:formula1>
            <xm:f>Packages!$B$23:$B$25</xm:f>
          </x14:formula1>
          <xm:sqref>B71</xm:sqref>
        </x14:dataValidation>
        <x14:dataValidation type="list" allowBlank="1" showInputMessage="1" showErrorMessage="1" xr:uid="{01744A51-1506-415E-BB0C-5906D6ABF35B}">
          <x14:formula1>
            <xm:f>Brains!$K$3:$K$16</xm:f>
          </x14:formula1>
          <xm:sqref>B65</xm:sqref>
        </x14:dataValidation>
        <x14:dataValidation type="list" allowBlank="1" showInputMessage="1" showErrorMessage="1" xr:uid="{5158D76E-FDB6-4AE0-9484-C52EA37F3340}">
          <x14:formula1>
            <xm:f>Packages!$B$29:$B$82</xm:f>
          </x14:formula1>
          <xm:sqref>A73:A90</xm:sqref>
        </x14:dataValidation>
        <x14:dataValidation type="list" allowBlank="1" showInputMessage="1" showErrorMessage="1" xr:uid="{C00A38B2-A66D-4FAD-A3D7-6CF1454ADE49}">
          <x14:formula1>
            <xm:f>Options!$C$9:$C$71</xm:f>
          </x14:formula1>
          <xm:sqref>A30:A34</xm:sqref>
        </x14:dataValidation>
        <x14:dataValidation type="list" allowBlank="1" showInputMessage="1" showErrorMessage="1" xr:uid="{64E0768B-9A66-4014-ACF7-0334234D16C2}">
          <x14:formula1>
            <xm:f>Options!$C$9:$C$256</xm:f>
          </x14:formula1>
          <xm:sqref>A36:A56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EC21-7B26-45FD-B9E5-1B45E15ADC4C}">
  <sheetPr>
    <tabColor rgb="FF92D050"/>
  </sheetPr>
  <dimension ref="A1:Z93"/>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825</v>
      </c>
      <c r="C2" s="204"/>
      <c r="D2" s="205"/>
      <c r="E2" s="36">
        <f>SUM(E5:E90)+E4</f>
        <v>0</v>
      </c>
      <c r="F2" s="206" t="s">
        <v>184</v>
      </c>
      <c r="G2" s="207"/>
      <c r="H2" s="208"/>
      <c r="I2" s="203" t="s">
        <v>776</v>
      </c>
      <c r="J2" s="204"/>
      <c r="K2" s="204"/>
      <c r="L2" s="204"/>
      <c r="M2" s="204"/>
      <c r="N2" s="79" t="s">
        <v>315</v>
      </c>
      <c r="O2" s="37">
        <v>15</v>
      </c>
      <c r="P2" s="151">
        <f>Z6</f>
        <v>281800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22</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Advanced AutoBerth</v>
      </c>
      <c r="S6" s="144">
        <f>M11</f>
        <v>50</v>
      </c>
      <c r="T6" s="144" t="str">
        <f>B5</f>
        <v>None</v>
      </c>
      <c r="U6" s="144" t="str">
        <f>_xlfn.CONCAT(J14," m")</f>
        <v>0 m</v>
      </c>
      <c r="V6" s="145">
        <f>O2</f>
        <v>15</v>
      </c>
      <c r="W6" s="150">
        <f>P91</f>
        <v>313150</v>
      </c>
      <c r="X6" s="152">
        <f>IF(I2="Standard Design",0.1,0)</f>
        <v>0.1</v>
      </c>
      <c r="Y6" s="153">
        <v>2</v>
      </c>
      <c r="Z6" s="148">
        <f>FLOOR(P91*(1-X6),100)</f>
        <v>281800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4,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864</v>
      </c>
      <c r="K9" s="177" t="s">
        <v>64</v>
      </c>
      <c r="L9" s="178"/>
      <c r="M9" s="179"/>
      <c r="O9" s="5" t="str">
        <f>IF(B9&gt;0,_xlfn.CONCAT("Athletics (endurance) ",B9,", "),"")</f>
        <v/>
      </c>
      <c r="P9" s="137">
        <f>-500*E9</f>
        <v>0</v>
      </c>
      <c r="R9" s="116" t="s">
        <v>49</v>
      </c>
      <c r="S9" s="162" t="str">
        <f>IF(COUNT(B19:B26)=0,"none",_xlfn.CONCAT(COUNT(B19:B26), " X (STR ",H19," DEX ",L19,")"))</f>
        <v>1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864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(+4),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Storage Compartment (standard),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864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18</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18</v>
      </c>
      <c r="K20" s="16"/>
      <c r="L20" s="6">
        <f t="shared" si="5"/>
        <v>0</v>
      </c>
      <c r="M20" s="21">
        <f t="shared" si="6"/>
        <v>-2</v>
      </c>
      <c r="O20" s="5" t="str">
        <f t="shared" si="7"/>
        <v/>
      </c>
      <c r="P20" s="137">
        <f>IF((B20-$B$4)*100&gt;-0.2*$P$5,(B20-$B$4)*100,-0.2*$P$5)+B20*100*(G20)^2+B20*200*(K20)^2</f>
        <v>-700</v>
      </c>
      <c r="R20" s="232" t="s">
        <v>857</v>
      </c>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18</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18</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18</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18</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18</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18</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18</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18</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241"/>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241"/>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42"/>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471</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-31</v>
      </c>
      <c r="F41" s="38">
        <f>IF(_xlfn.XLOOKUP(A41,OptionsTable[Name],OptionsTable[xS],,,)=FALSE,1,IF($B$4&gt;0,$E$4,1))</f>
        <v>1</v>
      </c>
      <c r="G41" s="58">
        <v>31</v>
      </c>
      <c r="H41" s="199" t="str">
        <f>IF(_xlfn.XLOOKUP(A41,OptionsTable[Name],OptionsTable[Notes],,,)="","",_xlfn.XLOOKUP(A41,OptionsTable[Name],OptionsTable[Notes],,,))</f>
        <v>2 kg or litres / slot</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1550</v>
      </c>
      <c r="R41" s="191"/>
      <c r="S41" s="192"/>
      <c r="T41" s="192"/>
      <c r="U41" s="192"/>
      <c r="V41" s="192"/>
      <c r="W41" s="192"/>
      <c r="X41" s="192"/>
      <c r="Y41" s="192"/>
      <c r="Z41" s="193"/>
    </row>
    <row r="42" spans="1:26" ht="12" customHeight="1" x14ac:dyDescent="0.35">
      <c r="A42" s="197"/>
      <c r="B42" s="198"/>
      <c r="C42" s="198"/>
      <c r="D42" s="24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81</v>
      </c>
      <c r="C64" s="227"/>
      <c r="D64" s="227"/>
      <c r="E64" s="40">
        <f>IF(L64+K64-O2&gt;B4,-1,0)</f>
        <v>0</v>
      </c>
      <c r="F64" s="38"/>
      <c r="H64" s="1">
        <f>_xlfn.XLOOKUP(B64,Brains[Programming/Control],Brains[Base INT],,,)</f>
        <v>9</v>
      </c>
      <c r="I64" s="31">
        <f>IF(H64&gt;17,4,IF(H64&gt;14,3,IF(H64&gt;11,2,IF(H64&gt;8,1,IF(H64&gt;5,0,IF(H64&gt;2,-1,-2))))))</f>
        <v>1</v>
      </c>
      <c r="J64" s="1">
        <f>_xlfn.XLOOKUP(B64,Brains[Programming/Control],Brains[Computer/X],,,)</f>
        <v>3</v>
      </c>
      <c r="K64" s="44">
        <f>_xlfn.XLOOKUP(B64,Brains[Programming/Control],Brains[TL],,,)</f>
        <v>12</v>
      </c>
      <c r="L64">
        <f>_xlfn.XLOOKUP(B64,Brains[Programming/Control],Brains[Computer/X],,,)</f>
        <v>3</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62500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3</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9</v>
      </c>
      <c r="I66" s="15">
        <f>IF(H66&gt;17,4,IF(H66&gt;14,3,IF(H66&gt;11,2,IF(H66&gt;8,1,IF(H66&gt;5,0,IF(H66&gt;2,-1,-2))))))</f>
        <v>1</v>
      </c>
      <c r="K66" s="44"/>
      <c r="L66" s="56">
        <f>L65+F66</f>
        <v>3</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3</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4,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313150</v>
      </c>
    </row>
    <row r="92" spans="1:16" ht="12" customHeight="1" thickBot="1" x14ac:dyDescent="0.45">
      <c r="B92" s="111"/>
      <c r="O92" s="149" t="str">
        <f>CONCATENATE("Cost With "&amp;X6*100 &amp; "% Discount")</f>
        <v>Cost With 10% Discount</v>
      </c>
      <c r="P92" s="147">
        <f>P2</f>
        <v>281800</v>
      </c>
    </row>
    <row r="93" spans="1:16" ht="12" customHeight="1" x14ac:dyDescent="0.35">
      <c r="A93" s="110"/>
      <c r="B93" s="112"/>
    </row>
  </sheetData>
  <dataConsolidate/>
  <mergeCells count="113">
    <mergeCell ref="G5:I5"/>
    <mergeCell ref="H6:N6"/>
    <mergeCell ref="G7:I7"/>
    <mergeCell ref="G8:I8"/>
    <mergeCell ref="K8:M8"/>
    <mergeCell ref="G9:I9"/>
    <mergeCell ref="A32:D32"/>
    <mergeCell ref="H32:J32"/>
    <mergeCell ref="G10:H10"/>
    <mergeCell ref="K10:M10"/>
    <mergeCell ref="G11:H11"/>
    <mergeCell ref="K11:L11"/>
    <mergeCell ref="K9:M9"/>
    <mergeCell ref="A30:D30"/>
    <mergeCell ref="H30:J30"/>
    <mergeCell ref="B2:D2"/>
    <mergeCell ref="F2:H2"/>
    <mergeCell ref="I2:M2"/>
    <mergeCell ref="G3:J3"/>
    <mergeCell ref="G4:I4"/>
    <mergeCell ref="K4:L4"/>
    <mergeCell ref="A42:D42"/>
    <mergeCell ref="H42:J42"/>
    <mergeCell ref="G12:O12"/>
    <mergeCell ref="B29:D29"/>
    <mergeCell ref="H29:J29"/>
    <mergeCell ref="A37:D37"/>
    <mergeCell ref="H37:J37"/>
    <mergeCell ref="H38:J38"/>
    <mergeCell ref="A39:D39"/>
    <mergeCell ref="H39:J39"/>
    <mergeCell ref="A33:D33"/>
    <mergeCell ref="H33:J33"/>
    <mergeCell ref="A34:D34"/>
    <mergeCell ref="H34:J34"/>
    <mergeCell ref="H35:J35"/>
    <mergeCell ref="A36:D36"/>
    <mergeCell ref="H36:J36"/>
    <mergeCell ref="A38:D38"/>
    <mergeCell ref="A41:D41"/>
    <mergeCell ref="H41:J41"/>
    <mergeCell ref="A31:D31"/>
    <mergeCell ref="H31:J31"/>
    <mergeCell ref="A46:D46"/>
    <mergeCell ref="H46:J46"/>
    <mergeCell ref="A47:D47"/>
    <mergeCell ref="H47:J47"/>
    <mergeCell ref="A48:D48"/>
    <mergeCell ref="H48:J48"/>
    <mergeCell ref="A43:D43"/>
    <mergeCell ref="H43:J43"/>
    <mergeCell ref="A44:D44"/>
    <mergeCell ref="H44:J44"/>
    <mergeCell ref="A45:D45"/>
    <mergeCell ref="H45:J45"/>
    <mergeCell ref="A40:D40"/>
    <mergeCell ref="H40:J40"/>
    <mergeCell ref="A52:D52"/>
    <mergeCell ref="H52:J52"/>
    <mergeCell ref="A53:D53"/>
    <mergeCell ref="H53:J53"/>
    <mergeCell ref="A54:D54"/>
    <mergeCell ref="H54:J54"/>
    <mergeCell ref="A49:D49"/>
    <mergeCell ref="H49:J49"/>
    <mergeCell ref="A50:D50"/>
    <mergeCell ref="H50:J50"/>
    <mergeCell ref="A51:D51"/>
    <mergeCell ref="H51:J51"/>
    <mergeCell ref="H59:I59"/>
    <mergeCell ref="A60:D60"/>
    <mergeCell ref="H60:I60"/>
    <mergeCell ref="A61:D61"/>
    <mergeCell ref="H61:I61"/>
    <mergeCell ref="A55:D55"/>
    <mergeCell ref="H55:J55"/>
    <mergeCell ref="A56:D56"/>
    <mergeCell ref="H56:J56"/>
    <mergeCell ref="A57:D57"/>
    <mergeCell ref="H57:J57"/>
    <mergeCell ref="B78:C78"/>
    <mergeCell ref="B79:C79"/>
    <mergeCell ref="B64:D64"/>
    <mergeCell ref="B65:D65"/>
    <mergeCell ref="B69:D69"/>
    <mergeCell ref="B70:D70"/>
    <mergeCell ref="B71:D71"/>
    <mergeCell ref="B73:C73"/>
    <mergeCell ref="A59:D59"/>
    <mergeCell ref="R20:Z75"/>
    <mergeCell ref="B89:C89"/>
    <mergeCell ref="B90:C90"/>
    <mergeCell ref="R13:R17"/>
    <mergeCell ref="S7:Z7"/>
    <mergeCell ref="S8:Z8"/>
    <mergeCell ref="S9:Z9"/>
    <mergeCell ref="S10:Z10"/>
    <mergeCell ref="S11:Z11"/>
    <mergeCell ref="S12:Z12"/>
    <mergeCell ref="S13:Z17"/>
    <mergeCell ref="B86:C86"/>
    <mergeCell ref="B87:C87"/>
    <mergeCell ref="B88:C88"/>
    <mergeCell ref="B80:C80"/>
    <mergeCell ref="B81:C81"/>
    <mergeCell ref="B82:C82"/>
    <mergeCell ref="B83:C83"/>
    <mergeCell ref="B84:C84"/>
    <mergeCell ref="B85:C85"/>
    <mergeCell ref="B74:C74"/>
    <mergeCell ref="B75:C75"/>
    <mergeCell ref="B76:C76"/>
    <mergeCell ref="B77:C77"/>
  </mergeCells>
  <conditionalFormatting sqref="B14">
    <cfRule type="expression" dxfId="168" priority="7">
      <formula>ABS($J$14-6) &gt; 6</formula>
    </cfRule>
  </conditionalFormatting>
  <conditionalFormatting sqref="E2">
    <cfRule type="expression" dxfId="167" priority="5">
      <formula>$E$2&lt;0</formula>
    </cfRule>
  </conditionalFormatting>
  <conditionalFormatting sqref="E15:E17">
    <cfRule type="expression" dxfId="166" priority="1">
      <formula>AND($B$4=0,E15&lt;0)</formula>
    </cfRule>
  </conditionalFormatting>
  <conditionalFormatting sqref="K5 K30:K34 K36:K57 K59:K61 K64:K67 K73:K90">
    <cfRule type="expression" dxfId="165" priority="6">
      <formula>K5&gt;$O$2</formula>
    </cfRule>
  </conditionalFormatting>
  <conditionalFormatting sqref="L57">
    <cfRule type="expression" dxfId="164" priority="2">
      <formula>L57&gt;$O$2</formula>
    </cfRule>
  </conditionalFormatting>
  <conditionalFormatting sqref="L67">
    <cfRule type="expression" dxfId="163" priority="4">
      <formula>L67&lt;0</formula>
    </cfRule>
  </conditionalFormatting>
  <dataValidations count="20">
    <dataValidation type="whole" allowBlank="1" showInputMessage="1" showErrorMessage="1" error="Must be a negative number no less than a 50% of the base hits" sqref="B11" xr:uid="{6E33133B-CCA5-445C-8618-99542EEDCFC9}">
      <formula1>-J4/2</formula1>
      <formula2>0</formula2>
    </dataValidation>
    <dataValidation type="whole" allowBlank="1" showInputMessage="1" showErrorMessage="1" error="Must be whole number. No more than 50% of slots may be used for Resiliency" sqref="B10" xr:uid="{0865E0CD-7C45-4EE6-B41D-0CEF660EEF31}">
      <formula1>0</formula1>
      <formula2>E4/2</formula2>
    </dataValidation>
    <dataValidation type="whole" allowBlank="1" showInputMessage="1" showErrorMessage="1" sqref="E11" xr:uid="{7B81D757-1BF6-4B14-9D74-83FAB880FAB9}">
      <formula1>0</formula1>
      <formula2>J4/2</formula2>
    </dataValidation>
    <dataValidation type="list" allowBlank="1" showInputMessage="1" showErrorMessage="1" error="Maximum = 3" sqref="B9" xr:uid="{87998AFD-34CA-4884-8548-5EEDBA9216B1}">
      <formula1>"0,1,2,3"</formula1>
    </dataValidation>
    <dataValidation type="list" allowBlank="1" showInputMessage="1" showErrorMessage="1" sqref="B4" xr:uid="{C9FC75C5-D21E-469C-AE4E-29AF22A3E297}">
      <formula1>"0,1,2,3,4,5,6,7,8"</formula1>
    </dataValidation>
    <dataValidation type="list" allowBlank="1" showInputMessage="1" showErrorMessage="1" sqref="O2" xr:uid="{3EDBAF67-D559-42AC-B91C-F86B4C2C72BF}">
      <formula1>"7,8,9,10,11,12,13,14,15,16,17,18"</formula1>
    </dataValidation>
    <dataValidation type="whole" allowBlank="1" showInputMessage="1" showErrorMessage="1" error="Max Manipulator Size = Chassis Size +2_x000a_Min Manipulator Size = 0_x000a_Whole Numbers Only" sqref="B19:B26" xr:uid="{B0C8E8FC-54B0-4FA0-8FF5-47EF5ECC9F38}">
      <formula1>0</formula1>
      <formula2>$B$4+2</formula2>
    </dataValidation>
    <dataValidation type="list" allowBlank="1" showInputMessage="1" showErrorMessage="1" sqref="B27:B28 B67 B8" xr:uid="{FFF50C4E-741E-41FB-935F-6BD7DF121496}">
      <formula1>"TRUE,FALSE"</formula1>
    </dataValidation>
    <dataValidation type="list" allowBlank="1" showInputMessage="1" showErrorMessage="1" sqref="B13" xr:uid="{93B96933-18BB-4DFF-8193-952772F44197}">
      <formula1>"0,1,2,3,4"</formula1>
    </dataValidation>
    <dataValidation type="list" allowBlank="1" showInputMessage="1" showErrorMessage="1" sqref="D73:D90 B66" xr:uid="{3E24A71C-4C79-4A91-B256-94DEBD30D60D}">
      <formula1>"0,1,2,3"</formula1>
    </dataValidation>
    <dataValidation type="list" allowBlank="1" showInputMessage="1" showErrorMessage="1" sqref="B15" xr:uid="{DD067901-C553-43A6-B231-34A99920254C}">
      <formula1>"FALSE,TRUE"</formula1>
    </dataValidation>
    <dataValidation type="list" allowBlank="1" showInputMessage="1" showErrorMessage="1" sqref="B16" xr:uid="{00EB785A-A400-4A85-A213-B2458F6846A1}">
      <formula1>"No,1X,2X,3X"</formula1>
    </dataValidation>
    <dataValidation type="whole" allowBlank="1" showInputMessage="1" showErrorMessage="1" error="Must be whole number between -6 and +12" sqref="B14" xr:uid="{C14C0610-ADF5-401E-A7E6-9CA612984DDF}">
      <formula1>-6</formula1>
      <formula2>12</formula2>
    </dataValidation>
    <dataValidation type="whole" allowBlank="1" showInputMessage="1" showErrorMessage="1" sqref="C11:D11" xr:uid="{1529A334-54B5-4383-9016-5DC1C0D75621}">
      <formula1>0</formula1>
      <formula2>D4/2</formula2>
    </dataValidation>
    <dataValidation type="whole" allowBlank="1" showInputMessage="1" showErrorMessage="1" sqref="C13:D13" xr:uid="{DC457A01-D8ED-4729-80DC-E388313F1DFD}">
      <formula1>0</formula1>
      <formula2>D5/2</formula2>
    </dataValidation>
    <dataValidation type="whole" allowBlank="1" showInputMessage="1" showErrorMessage="1" sqref="C14:D14" xr:uid="{923E356D-6D37-4A6D-842C-611A81337BCF}">
      <formula1>0</formula1>
      <formula2>D15/2</formula2>
    </dataValidation>
    <dataValidation type="whole" allowBlank="1" showInputMessage="1" showErrorMessage="1" sqref="E13:E14" xr:uid="{BFD1F15A-4B39-4F1F-AE89-EB78C7FFF4EF}">
      <formula1>0</formula1>
      <formula2>#REF!/2</formula2>
    </dataValidation>
    <dataValidation type="whole" allowBlank="1" showInputMessage="1" showErrorMessage="1" error="Max STR = Lesser of Size + TL or SIZE X 4" sqref="G19:G28" xr:uid="{B2C6E918-EB70-49FE-880F-FED49CF58603}">
      <formula1>0</formula1>
      <formula2>F19-C19</formula2>
    </dataValidation>
    <dataValidation type="whole" allowBlank="1" showInputMessage="1" showErrorMessage="1" error="Max DEX = TL+3" sqref="K19:K28" xr:uid="{A9D70027-7F43-4E5E-AC55-3AC82A3AFF29}">
      <formula1>0</formula1>
      <formula2>J19-D19</formula2>
    </dataValidation>
    <dataValidation type="whole" allowBlank="1" showInputMessage="1" showErrorMessage="1" error="Total Armour cannot exceed Maximum" sqref="B7" xr:uid="{594BF884-41C0-4C42-95DD-1FE66B24CCCB}">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3EA9E8F1-526C-4629-AFCD-5CE0CC3E38ED}">
          <x14:formula1>
            <xm:f>Packages!$B$29:$B$82</xm:f>
          </x14:formula1>
          <xm:sqref>A73:A90</xm:sqref>
        </x14:dataValidation>
        <x14:dataValidation type="list" allowBlank="1" showInputMessage="1" showErrorMessage="1" xr:uid="{81EE8A49-42ED-47A8-A5CC-7C744CE35A18}">
          <x14:formula1>
            <xm:f>Chassis!$H$3:$H$13</xm:f>
          </x14:formula1>
          <xm:sqref>B17 B5</xm:sqref>
        </x14:dataValidation>
        <x14:dataValidation type="list" allowBlank="1" showInputMessage="1" showErrorMessage="1" xr:uid="{66DC18E3-E727-457A-A373-0B3EECBB8700}">
          <x14:formula1>
            <xm:f>Packages!$B$11:$B$19</xm:f>
          </x14:formula1>
          <xm:sqref>B70</xm:sqref>
        </x14:dataValidation>
        <x14:dataValidation type="list" allowBlank="1" showInputMessage="1" showErrorMessage="1" xr:uid="{80482043-AF3E-42AB-A852-F3058A68034D}">
          <x14:formula1>
            <xm:f>Brains!$B$3:$B$19</xm:f>
          </x14:formula1>
          <xm:sqref>B64</xm:sqref>
        </x14:dataValidation>
        <x14:dataValidation type="list" allowBlank="1" showInputMessage="1" showErrorMessage="1" xr:uid="{2B2FEA9D-AA83-4849-A85A-C804074564ED}">
          <x14:formula1>
            <xm:f>Packages!$B$3:$B$7</xm:f>
          </x14:formula1>
          <xm:sqref>B69</xm:sqref>
        </x14:dataValidation>
        <x14:dataValidation type="list" allowBlank="1" showInputMessage="1" showErrorMessage="1" xr:uid="{45FF66B4-52A1-4F92-ABCE-A26EA5658FBC}">
          <x14:formula1>
            <xm:f>Packages!$B$23:$B$25</xm:f>
          </x14:formula1>
          <xm:sqref>B71</xm:sqref>
        </x14:dataValidation>
        <x14:dataValidation type="list" allowBlank="1" showInputMessage="1" showErrorMessage="1" xr:uid="{5527DA1E-7BF4-4DB3-9B51-A3924805D38D}">
          <x14:formula1>
            <xm:f>Brains!$K$3:$K$16</xm:f>
          </x14:formula1>
          <xm:sqref>B65</xm:sqref>
        </x14:dataValidation>
        <x14:dataValidation type="list" allowBlank="1" showInputMessage="1" showErrorMessage="1" xr:uid="{C20C7D65-F7A4-4306-8B88-D6C39EFC92AE}">
          <x14:formula1>
            <xm:f>Options!$C$9:$C$71</xm:f>
          </x14:formula1>
          <xm:sqref>A30:A34</xm:sqref>
        </x14:dataValidation>
        <x14:dataValidation type="list" allowBlank="1" showInputMessage="1" showErrorMessage="1" xr:uid="{FFEE603C-8FA9-4F0A-8A37-EC471DCFB89B}">
          <x14:formula1>
            <xm:f>Options!$C$9:$C$256</xm:f>
          </x14:formula1>
          <xm:sqref>A36:A56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5388-E784-482C-9C71-65B529D31E93}">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824</v>
      </c>
      <c r="C2" s="204"/>
      <c r="D2" s="205"/>
      <c r="E2" s="36">
        <f>SUM(E5:E90)+E4</f>
        <v>0</v>
      </c>
      <c r="F2" s="206" t="s">
        <v>184</v>
      </c>
      <c r="G2" s="207"/>
      <c r="H2" s="208"/>
      <c r="I2" s="203" t="s">
        <v>776</v>
      </c>
      <c r="J2" s="204"/>
      <c r="K2" s="204"/>
      <c r="L2" s="204"/>
      <c r="M2" s="204"/>
      <c r="N2" s="79" t="s">
        <v>315</v>
      </c>
      <c r="O2" s="37">
        <v>16</v>
      </c>
      <c r="P2" s="151">
        <f>Z6</f>
        <v>359600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23</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Superior AutoBerth</v>
      </c>
      <c r="S6" s="144">
        <f>M11</f>
        <v>50</v>
      </c>
      <c r="T6" s="144" t="str">
        <f>B5</f>
        <v>None</v>
      </c>
      <c r="U6" s="144" t="str">
        <f>_xlfn.CONCAT(J14," m")</f>
        <v>0 m</v>
      </c>
      <c r="V6" s="145">
        <f>O2</f>
        <v>16</v>
      </c>
      <c r="W6" s="150">
        <f>P91</f>
        <v>399650</v>
      </c>
      <c r="X6" s="152">
        <f>IF(I2="Standard Design",0.1,0)</f>
        <v>0.1</v>
      </c>
      <c r="Y6" s="153">
        <v>2</v>
      </c>
      <c r="Z6" s="148">
        <f>FLOOR(P91*(1-X6),100)</f>
        <v>359600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5,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864</v>
      </c>
      <c r="K9" s="177" t="s">
        <v>64</v>
      </c>
      <c r="L9" s="178"/>
      <c r="M9" s="179"/>
      <c r="O9" s="5" t="str">
        <f>IF(B9&gt;0,_xlfn.CONCAT("Athletics (endurance) ",B9,", "),"")</f>
        <v/>
      </c>
      <c r="P9" s="137">
        <f>-500*E9</f>
        <v>0</v>
      </c>
      <c r="R9" s="116" t="s">
        <v>49</v>
      </c>
      <c r="S9" s="162" t="str">
        <f>IF(COUNT(B19:B26)=0,"none",_xlfn.CONCAT(COUNT(B19:B26), " X (STR ",H19," DEX ",L19,")"))</f>
        <v>1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864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(+4),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12)</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Storage Compartment (standard),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864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19</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19</v>
      </c>
      <c r="K20" s="16"/>
      <c r="L20" s="6">
        <f t="shared" si="5"/>
        <v>0</v>
      </c>
      <c r="M20" s="21">
        <f t="shared" si="6"/>
        <v>-2</v>
      </c>
      <c r="O20" s="5" t="str">
        <f t="shared" si="7"/>
        <v/>
      </c>
      <c r="P20" s="137">
        <f>IF((B20-$B$4)*100&gt;-0.2*$P$5,(B20-$B$4)*100,-0.2*$P$5)+B20*100*(G20)^2+B20*200*(K20)^2</f>
        <v>-700</v>
      </c>
      <c r="R20" s="232" t="s">
        <v>858</v>
      </c>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19</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19</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19</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19</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19</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19</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19</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19</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560</v>
      </c>
      <c r="B38" s="198"/>
      <c r="C38" s="198"/>
      <c r="D38" s="241"/>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42"/>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241"/>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241"/>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471</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-31</v>
      </c>
      <c r="F41" s="38">
        <f>IF(_xlfn.XLOOKUP(A41,OptionsTable[Name],OptionsTable[xS],,,)=FALSE,1,IF($B$4&gt;0,$E$4,1))</f>
        <v>1</v>
      </c>
      <c r="G41" s="58">
        <v>31</v>
      </c>
      <c r="H41" s="199" t="str">
        <f>IF(_xlfn.XLOOKUP(A41,OptionsTable[Name],OptionsTable[Notes],,,)="","",_xlfn.XLOOKUP(A41,OptionsTable[Name],OptionsTable[Notes],,,))</f>
        <v>2 kg or litres / slot</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1550</v>
      </c>
      <c r="R41" s="191"/>
      <c r="S41" s="192"/>
      <c r="T41" s="192"/>
      <c r="U41" s="192"/>
      <c r="V41" s="192"/>
      <c r="W41" s="192"/>
      <c r="X41" s="192"/>
      <c r="Y41" s="192"/>
      <c r="Z41" s="193"/>
    </row>
    <row r="42" spans="1:26" ht="12" customHeight="1" x14ac:dyDescent="0.35">
      <c r="A42" s="197"/>
      <c r="B42" s="198"/>
      <c r="C42" s="198"/>
      <c r="D42" s="24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83</v>
      </c>
      <c r="C64" s="227"/>
      <c r="D64" s="227"/>
      <c r="E64" s="40">
        <f>IF(L64+K64-O2&gt;B4,-1,0)</f>
        <v>0</v>
      </c>
      <c r="F64" s="38"/>
      <c r="H64" s="1">
        <f>_xlfn.XLOOKUP(B64,Brains[Programming/Control],Brains[Base INT],,,)</f>
        <v>11</v>
      </c>
      <c r="I64" s="31">
        <f>IF(H64&gt;17,4,IF(H64&gt;14,3,IF(H64&gt;11,2,IF(H64&gt;8,1,IF(H64&gt;5,0,IF(H64&gt;2,-1,-2))))))</f>
        <v>1</v>
      </c>
      <c r="J64" s="1">
        <f>_xlfn.XLOOKUP(B64,Brains[Programming/Control],Brains[Computer/X],,,)</f>
        <v>5</v>
      </c>
      <c r="K64" s="44">
        <f>_xlfn.XLOOKUP(B64,Brains[Programming/Control],Brains[TL],,,)</f>
        <v>14</v>
      </c>
      <c r="L64">
        <f>_xlfn.XLOOKUP(B64,Brains[Programming/Control],Brains[Computer/X],,,)</f>
        <v>5</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125000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5</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12</v>
      </c>
      <c r="I66" s="15">
        <f>IF(H66&gt;17,4,IF(H66&gt;14,3,IF(H66&gt;11,2,IF(H66&gt;8,1,IF(H66&gt;5,0,IF(H66&gt;2,-1,-2))))))</f>
        <v>2</v>
      </c>
      <c r="K66" s="44"/>
      <c r="L66" s="56">
        <f>L65+F66</f>
        <v>4</v>
      </c>
      <c r="M66" t="s">
        <v>310</v>
      </c>
      <c r="P66" s="137" cm="1">
        <f t="array" ref="P66">_xlfn.IFS(B66=0,0,B66=1,(H64+1)*1000,B66=2,(H64+1)*(H64+2)*1000,B66=3,(H64+1)*(H64+2)*(H64+3)*1000)*IF(H66&gt;11,2,1)</f>
        <v>24000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5</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5,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399650</v>
      </c>
    </row>
    <row r="92" spans="1:16" ht="12" customHeight="1" thickBot="1" x14ac:dyDescent="0.45">
      <c r="A92" s="7"/>
      <c r="O92" s="149" t="str">
        <f>CONCATENATE("Cost With "&amp;X6*100 &amp; "% Discount")</f>
        <v>Cost With 10% Discount</v>
      </c>
      <c r="P92" s="147">
        <f>P2</f>
        <v>359600</v>
      </c>
    </row>
    <row r="93" spans="1:16" ht="12" customHeight="1" x14ac:dyDescent="0.35">
      <c r="B93" s="110"/>
    </row>
    <row r="94" spans="1:16" ht="12" customHeight="1" x14ac:dyDescent="0.4">
      <c r="B94" s="111"/>
    </row>
    <row r="95" spans="1:16" ht="12" customHeight="1" x14ac:dyDescent="0.35">
      <c r="A95" s="110"/>
      <c r="B95" s="112"/>
    </row>
  </sheetData>
  <dataConsolidate/>
  <mergeCells count="113">
    <mergeCell ref="B2:D2"/>
    <mergeCell ref="F2:H2"/>
    <mergeCell ref="I2:M2"/>
    <mergeCell ref="G3:J3"/>
    <mergeCell ref="G4:I4"/>
    <mergeCell ref="K4:L4"/>
    <mergeCell ref="G12:O12"/>
    <mergeCell ref="B29:D29"/>
    <mergeCell ref="H29:J29"/>
    <mergeCell ref="G10:H10"/>
    <mergeCell ref="K10:M10"/>
    <mergeCell ref="G11:H11"/>
    <mergeCell ref="K11:L11"/>
    <mergeCell ref="G5:I5"/>
    <mergeCell ref="H6:N6"/>
    <mergeCell ref="G7:I7"/>
    <mergeCell ref="G8:I8"/>
    <mergeCell ref="K8:M8"/>
    <mergeCell ref="G9:I9"/>
    <mergeCell ref="K9:M9"/>
    <mergeCell ref="A30:D30"/>
    <mergeCell ref="H30:J30"/>
    <mergeCell ref="A31:D31"/>
    <mergeCell ref="H31:J31"/>
    <mergeCell ref="A32:D32"/>
    <mergeCell ref="H32:J32"/>
    <mergeCell ref="A38:D38"/>
    <mergeCell ref="H38:J38"/>
    <mergeCell ref="A39:D39"/>
    <mergeCell ref="H39:J39"/>
    <mergeCell ref="A37:D37"/>
    <mergeCell ref="H37:J37"/>
    <mergeCell ref="A33:D33"/>
    <mergeCell ref="H33:J33"/>
    <mergeCell ref="A34:D34"/>
    <mergeCell ref="H34:J34"/>
    <mergeCell ref="H35:J35"/>
    <mergeCell ref="A36:D36"/>
    <mergeCell ref="H36:J36"/>
    <mergeCell ref="A40:D40"/>
    <mergeCell ref="H40:J40"/>
    <mergeCell ref="A42:D42"/>
    <mergeCell ref="A43:D43"/>
    <mergeCell ref="H42:J42"/>
    <mergeCell ref="H43:J43"/>
    <mergeCell ref="A46:D46"/>
    <mergeCell ref="H46:J46"/>
    <mergeCell ref="A47:D47"/>
    <mergeCell ref="H47:J47"/>
    <mergeCell ref="A48:D48"/>
    <mergeCell ref="H48:J48"/>
    <mergeCell ref="A41:D41"/>
    <mergeCell ref="H41:J41"/>
    <mergeCell ref="A44:D44"/>
    <mergeCell ref="H44:J44"/>
    <mergeCell ref="A45:D45"/>
    <mergeCell ref="H45:J45"/>
    <mergeCell ref="A52:D52"/>
    <mergeCell ref="H52:J52"/>
    <mergeCell ref="A53:D53"/>
    <mergeCell ref="H53:J53"/>
    <mergeCell ref="A54:D54"/>
    <mergeCell ref="H54:J54"/>
    <mergeCell ref="A49:D49"/>
    <mergeCell ref="H49:J49"/>
    <mergeCell ref="A50:D50"/>
    <mergeCell ref="H50:J50"/>
    <mergeCell ref="A51:D51"/>
    <mergeCell ref="H51:J51"/>
    <mergeCell ref="H59:I59"/>
    <mergeCell ref="A60:D60"/>
    <mergeCell ref="H60:I60"/>
    <mergeCell ref="A61:D61"/>
    <mergeCell ref="H61:I61"/>
    <mergeCell ref="A55:D55"/>
    <mergeCell ref="H55:J55"/>
    <mergeCell ref="A56:D56"/>
    <mergeCell ref="H56:J56"/>
    <mergeCell ref="A57:D57"/>
    <mergeCell ref="H57:J57"/>
    <mergeCell ref="B78:C78"/>
    <mergeCell ref="B79:C79"/>
    <mergeCell ref="B64:D64"/>
    <mergeCell ref="B65:D65"/>
    <mergeCell ref="B69:D69"/>
    <mergeCell ref="B70:D70"/>
    <mergeCell ref="B71:D71"/>
    <mergeCell ref="B73:C73"/>
    <mergeCell ref="A59:D59"/>
    <mergeCell ref="R20:Z75"/>
    <mergeCell ref="B89:C89"/>
    <mergeCell ref="B90:C90"/>
    <mergeCell ref="R13:R17"/>
    <mergeCell ref="S7:Z7"/>
    <mergeCell ref="S8:Z8"/>
    <mergeCell ref="S9:Z9"/>
    <mergeCell ref="S10:Z10"/>
    <mergeCell ref="S11:Z11"/>
    <mergeCell ref="S12:Z12"/>
    <mergeCell ref="S13:Z17"/>
    <mergeCell ref="B86:C86"/>
    <mergeCell ref="B87:C87"/>
    <mergeCell ref="B88:C88"/>
    <mergeCell ref="B80:C80"/>
    <mergeCell ref="B81:C81"/>
    <mergeCell ref="B82:C82"/>
    <mergeCell ref="B83:C83"/>
    <mergeCell ref="B84:C84"/>
    <mergeCell ref="B85:C85"/>
    <mergeCell ref="B74:C74"/>
    <mergeCell ref="B75:C75"/>
    <mergeCell ref="B76:C76"/>
    <mergeCell ref="B77:C77"/>
  </mergeCells>
  <conditionalFormatting sqref="B14">
    <cfRule type="expression" dxfId="162" priority="7">
      <formula>ABS($J$14-6) &gt; 6</formula>
    </cfRule>
  </conditionalFormatting>
  <conditionalFormatting sqref="E2">
    <cfRule type="expression" dxfId="161" priority="5">
      <formula>$E$2&lt;0</formula>
    </cfRule>
  </conditionalFormatting>
  <conditionalFormatting sqref="E15:E17">
    <cfRule type="expression" dxfId="160" priority="1">
      <formula>AND($B$4=0,E15&lt;0)</formula>
    </cfRule>
  </conditionalFormatting>
  <conditionalFormatting sqref="K5 K30:K34 K59:K61 K64:K67 K73:K90">
    <cfRule type="expression" dxfId="159" priority="6">
      <formula>K5&gt;$O$2</formula>
    </cfRule>
  </conditionalFormatting>
  <conditionalFormatting sqref="K36:K57">
    <cfRule type="expression" dxfId="158" priority="3">
      <formula>K36&gt;$O$2</formula>
    </cfRule>
  </conditionalFormatting>
  <conditionalFormatting sqref="L57">
    <cfRule type="expression" dxfId="157" priority="2">
      <formula>L57&gt;$O$2</formula>
    </cfRule>
  </conditionalFormatting>
  <conditionalFormatting sqref="L67">
    <cfRule type="expression" dxfId="156" priority="4">
      <formula>L67&lt;0</formula>
    </cfRule>
  </conditionalFormatting>
  <dataValidations count="20">
    <dataValidation type="whole" allowBlank="1" showInputMessage="1" showErrorMessage="1" error="Total Armour cannot exceed Maximum" sqref="B7" xr:uid="{FA44B6EB-95DF-45FE-A566-E1F22D029CF9}">
      <formula1>-1</formula1>
      <formula2>L7-MID(A7,18,1)</formula2>
    </dataValidation>
    <dataValidation type="whole" allowBlank="1" showInputMessage="1" showErrorMessage="1" error="Max DEX = TL+3" sqref="K19:K28" xr:uid="{7ABF7330-E566-4CC8-8374-6B5C59992A1E}">
      <formula1>0</formula1>
      <formula2>J19-D19</formula2>
    </dataValidation>
    <dataValidation type="whole" allowBlank="1" showInputMessage="1" showErrorMessage="1" error="Max STR = Lesser of Size + TL or SIZE X 4" sqref="G19:G28" xr:uid="{47DC8DF7-93AD-46FB-B207-F8241A94A2FF}">
      <formula1>0</formula1>
      <formula2>F19-C19</formula2>
    </dataValidation>
    <dataValidation type="whole" allowBlank="1" showInputMessage="1" showErrorMessage="1" sqref="E13:E14" xr:uid="{C001918D-7CC2-4C25-99D0-C74F4D56C1A4}">
      <formula1>0</formula1>
      <formula2>#REF!/2</formula2>
    </dataValidation>
    <dataValidation type="whole" allowBlank="1" showInputMessage="1" showErrorMessage="1" sqref="C14:D14" xr:uid="{E0460D88-5F47-4E8B-A56E-971A1213082A}">
      <formula1>0</formula1>
      <formula2>D15/2</formula2>
    </dataValidation>
    <dataValidation type="whole" allowBlank="1" showInputMessage="1" showErrorMessage="1" sqref="C13:D13" xr:uid="{19A990FB-7312-495B-85C0-C86E1DC39647}">
      <formula1>0</formula1>
      <formula2>D5/2</formula2>
    </dataValidation>
    <dataValidation type="whole" allowBlank="1" showInputMessage="1" showErrorMessage="1" sqref="C11:D11" xr:uid="{7ABFED03-620E-4216-B437-46BDEF1C994D}">
      <formula1>0</formula1>
      <formula2>D4/2</formula2>
    </dataValidation>
    <dataValidation type="whole" allowBlank="1" showInputMessage="1" showErrorMessage="1" error="Must be whole number between -6 and +12" sqref="B14" xr:uid="{A3F4E1F6-1566-4174-AF28-67E1231DF7C6}">
      <formula1>-6</formula1>
      <formula2>12</formula2>
    </dataValidation>
    <dataValidation type="list" allowBlank="1" showInputMessage="1" showErrorMessage="1" sqref="B16" xr:uid="{B7276DC7-C97E-42A0-AED5-7DFFBF8CD0CB}">
      <formula1>"No,1X,2X,3X"</formula1>
    </dataValidation>
    <dataValidation type="list" allowBlank="1" showInputMessage="1" showErrorMessage="1" sqref="B15" xr:uid="{C00EA426-3FBD-41BA-A373-049A641214B9}">
      <formula1>"FALSE,TRUE"</formula1>
    </dataValidation>
    <dataValidation type="list" allowBlank="1" showInputMessage="1" showErrorMessage="1" sqref="D73:D90 B66" xr:uid="{4136121E-9947-413D-8C75-F68DCCED6DA0}">
      <formula1>"0,1,2,3"</formula1>
    </dataValidation>
    <dataValidation type="list" allowBlank="1" showInputMessage="1" showErrorMessage="1" sqref="B13" xr:uid="{59F945F5-1E96-4825-96AB-CA5FEF34740E}">
      <formula1>"0,1,2,3,4"</formula1>
    </dataValidation>
    <dataValidation type="list" allowBlank="1" showInputMessage="1" showErrorMessage="1" sqref="B27:B28 B67 B8" xr:uid="{9AE76D5B-5C59-465D-B6D8-1F5C5B47C028}">
      <formula1>"TRUE,FALSE"</formula1>
    </dataValidation>
    <dataValidation type="whole" allowBlank="1" showInputMessage="1" showErrorMessage="1" error="Max Manipulator Size = Chassis Size +2_x000a_Min Manipulator Size = 0_x000a_Whole Numbers Only" sqref="B19:B26" xr:uid="{AC5B8D70-254A-4D43-ADDF-C776DF19D60C}">
      <formula1>0</formula1>
      <formula2>$B$4+2</formula2>
    </dataValidation>
    <dataValidation type="list" allowBlank="1" showInputMessage="1" showErrorMessage="1" sqref="O2" xr:uid="{964E8D16-6ABE-4DD1-8591-4764FEDC4396}">
      <formula1>"7,8,9,10,11,12,13,14,15,16,17,18"</formula1>
    </dataValidation>
    <dataValidation type="list" allowBlank="1" showInputMessage="1" showErrorMessage="1" sqref="B4" xr:uid="{173B439E-5345-494F-8733-2BE5A81663D7}">
      <formula1>"0,1,2,3,4,5,6,7,8"</formula1>
    </dataValidation>
    <dataValidation type="list" allowBlank="1" showInputMessage="1" showErrorMessage="1" error="Maximum = 3" sqref="B9" xr:uid="{9268F4C4-DA2F-4124-B532-B702162B2D9A}">
      <formula1>"0,1,2,3"</formula1>
    </dataValidation>
    <dataValidation type="whole" allowBlank="1" showInputMessage="1" showErrorMessage="1" sqref="E11" xr:uid="{CB50D32D-AC7E-4BF2-B6B4-8274312499D8}">
      <formula1>0</formula1>
      <formula2>J4/2</formula2>
    </dataValidation>
    <dataValidation type="whole" allowBlank="1" showInputMessage="1" showErrorMessage="1" error="Must be whole number. No more than 50% of slots may be used for Resiliency" sqref="B10" xr:uid="{1E05A135-62CB-49B7-A585-6AD13055A4F1}">
      <formula1>0</formula1>
      <formula2>E4/2</formula2>
    </dataValidation>
    <dataValidation type="whole" allowBlank="1" showInputMessage="1" showErrorMessage="1" error="Must be a negative number no less than a 50% of the base hits" sqref="B11" xr:uid="{8AAC8097-8EF9-4BD2-827E-84C2A4E7AE10}">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FCC2EDDF-EF8C-49E1-9498-2DBD43FB24C7}">
          <x14:formula1>
            <xm:f>Brains!$K$3:$K$16</xm:f>
          </x14:formula1>
          <xm:sqref>B65</xm:sqref>
        </x14:dataValidation>
        <x14:dataValidation type="list" allowBlank="1" showInputMessage="1" showErrorMessage="1" xr:uid="{9BF79674-1492-45D1-82A8-2E6619330FBE}">
          <x14:formula1>
            <xm:f>Packages!$B$23:$B$25</xm:f>
          </x14:formula1>
          <xm:sqref>B71</xm:sqref>
        </x14:dataValidation>
        <x14:dataValidation type="list" allowBlank="1" showInputMessage="1" showErrorMessage="1" xr:uid="{E5AEE13C-0D3B-4D18-9DA2-D0519AD4B6F6}">
          <x14:formula1>
            <xm:f>Packages!$B$3:$B$7</xm:f>
          </x14:formula1>
          <xm:sqref>B69</xm:sqref>
        </x14:dataValidation>
        <x14:dataValidation type="list" allowBlank="1" showInputMessage="1" showErrorMessage="1" xr:uid="{1C1190ED-CE82-491C-99DD-A69098DF47FB}">
          <x14:formula1>
            <xm:f>Brains!$B$3:$B$19</xm:f>
          </x14:formula1>
          <xm:sqref>B64</xm:sqref>
        </x14:dataValidation>
        <x14:dataValidation type="list" allowBlank="1" showInputMessage="1" showErrorMessage="1" xr:uid="{7206598B-D187-4F43-A083-4EEDFC8390A2}">
          <x14:formula1>
            <xm:f>Packages!$B$11:$B$19</xm:f>
          </x14:formula1>
          <xm:sqref>B70</xm:sqref>
        </x14:dataValidation>
        <x14:dataValidation type="list" allowBlank="1" showInputMessage="1" showErrorMessage="1" xr:uid="{C8860958-C195-443A-BAE4-0AA2A715B3A1}">
          <x14:formula1>
            <xm:f>Chassis!$H$3:$H$13</xm:f>
          </x14:formula1>
          <xm:sqref>B17 B5</xm:sqref>
        </x14:dataValidation>
        <x14:dataValidation type="list" allowBlank="1" showInputMessage="1" showErrorMessage="1" xr:uid="{B6D4F15F-E175-4103-BE4E-05C971CD453D}">
          <x14:formula1>
            <xm:f>Packages!$B$29:$B$82</xm:f>
          </x14:formula1>
          <xm:sqref>A73:A90</xm:sqref>
        </x14:dataValidation>
        <x14:dataValidation type="list" allowBlank="1" showInputMessage="1" showErrorMessage="1" xr:uid="{FBD48AEF-9DBA-4E0B-B79F-CB8C1F582CB5}">
          <x14:formula1>
            <xm:f>Options!$C$9:$C$71</xm:f>
          </x14:formula1>
          <xm:sqref>A30:A34</xm:sqref>
        </x14:dataValidation>
        <x14:dataValidation type="list" allowBlank="1" showInputMessage="1" showErrorMessage="1" xr:uid="{152789A7-13FE-4F78-BB4E-CB761FE2449D}">
          <x14:formula1>
            <xm:f>Options!$C$9:$C$256</xm:f>
          </x14:formula1>
          <xm:sqref>A36:A56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89D7-113D-48D5-9CE2-0EC1AD85E7C3}">
  <sheetPr>
    <tabColor rgb="FF92D050"/>
  </sheetPr>
  <dimension ref="A1:Z94"/>
  <sheetViews>
    <sheetView workbookViewId="0">
      <pane ySplit="3" topLeftCell="A10"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870</v>
      </c>
      <c r="C2" s="204"/>
      <c r="D2" s="205"/>
      <c r="E2" s="36">
        <f>SUM(E5:E90)+E4</f>
        <v>0</v>
      </c>
      <c r="F2" s="206" t="s">
        <v>184</v>
      </c>
      <c r="G2" s="207"/>
      <c r="H2" s="208"/>
      <c r="I2" s="203" t="s">
        <v>776</v>
      </c>
      <c r="J2" s="204"/>
      <c r="K2" s="204"/>
      <c r="L2" s="204"/>
      <c r="M2" s="204"/>
      <c r="N2" s="79" t="s">
        <v>315</v>
      </c>
      <c r="O2" s="37">
        <v>10</v>
      </c>
      <c r="P2" s="151">
        <f>Z6</f>
        <v>82400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17</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Basic AutoBerth (Long Duration)</v>
      </c>
      <c r="S6" s="144">
        <f>M11</f>
        <v>50</v>
      </c>
      <c r="T6" s="144" t="str">
        <f>B5</f>
        <v>None</v>
      </c>
      <c r="U6" s="144" t="str">
        <f>_xlfn.CONCAT(J14," m")</f>
        <v>0 m</v>
      </c>
      <c r="V6" s="145">
        <f>O2</f>
        <v>10</v>
      </c>
      <c r="W6" s="148">
        <f>P91</f>
        <v>91600</v>
      </c>
      <c r="X6" s="152">
        <f>IF(I2="Standard Design",0.1,0)</f>
        <v>0.1</v>
      </c>
      <c r="Y6" s="153">
        <v>2</v>
      </c>
      <c r="Z6" s="148">
        <f>FLOOR(P91*(1-X6),100)</f>
        <v>82400</v>
      </c>
    </row>
    <row r="7" spans="1:26" ht="12" customHeight="1" x14ac:dyDescent="0.4">
      <c r="A7" s="92" t="str">
        <f>IF( B4&gt;0,IF(COUNT(L36:L56)&gt;0,"Armour (Base =  +0)",_xlfn.CONCAT("Armour (Base =  +",_xlfn.XLOOKUP($O$2,Armour[TL],Armour[Base],,,),")")),_xlfn.CONCAT("Armour (Base =  +",_xlfn.XLOOKUP($O$2,Armour[TL],Armour[Base],,,)-2,")"))</f>
        <v>Armour (Base =  +3)</v>
      </c>
      <c r="B7" s="29">
        <v>0</v>
      </c>
      <c r="E7" s="115" cm="1">
        <f t="array" ref="E7">IF(ROUNDUP(_xlfn.XLOOKUP($O$2,Armour[TL],Armour[Slots]*B7*E4,,,),0)&lt;B7/F7,-ROUNDUP(B7/F7,0),-ROUNDUP(_xlfn.XLOOKUP($O$2,Armour[TL],Armour[Slots]*B7*E4,,,),0))</f>
        <v>0</v>
      </c>
      <c r="F7" s="38">
        <f>_xlfn.XLOOKUP($O$2,Armour[TL],Armour[Max/slot],,,)</f>
        <v>2</v>
      </c>
      <c r="G7" s="209" t="s">
        <v>183</v>
      </c>
      <c r="H7" s="209"/>
      <c r="I7" s="210"/>
      <c r="J7" s="33">
        <f>IF(B4&gt;0,IF(COUNT(L36:L56)&gt;0,B7,_xlfn.XLOOKUP($O$2,Armour[TL],Armour[Base],,,)+B7),_xlfn.XLOOKUP($O$2,Armour[TL],Armour[Base],,,)-2)</f>
        <v>3</v>
      </c>
      <c r="K7" s="93" t="s">
        <v>313</v>
      </c>
      <c r="L7" s="52">
        <f>_xlfn.XLOOKUP($O$2,Armour[TL],Armour[Max],,,)</f>
        <v>30</v>
      </c>
      <c r="N7" s="5" t="str">
        <f>_xlfn.CONCAT("Armour (+",IF(COUNT(L36:L56)&gt;0,0+B7, _xlfn.XLOOKUP($O$2,Armour[TL],Armour[Base],,,)+B7+IF(B4=0,-2,0)),"), ")</f>
        <v xml:space="preserve">Armour (+3), </v>
      </c>
      <c r="P7" s="137" cm="1">
        <f t="array" ref="P7">IF(B7&gt;-1,_xlfn.XLOOKUP($O$2,Armour[TL],-Armour[Cost/Slot]*E7,,,),-P5*0.1)</f>
        <v>0</v>
      </c>
      <c r="R7" s="119" t="s">
        <v>90</v>
      </c>
      <c r="S7" s="162" t="str">
        <f>_xlfn.CONCAT(O9,O13,O19:O28,O30:O34,O36:O57,O64,O69:O71,O73:O90)</f>
        <v xml:space="preserve">Athletics (endurance) 3, Medic 0,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432</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-21</v>
      </c>
      <c r="F9" s="38"/>
      <c r="G9" s="178" t="s">
        <v>302</v>
      </c>
      <c r="H9" s="178"/>
      <c r="I9" s="179"/>
      <c r="J9" s="52">
        <f>J8*(1+B9)</f>
        <v>1728</v>
      </c>
      <c r="K9" s="177" t="s">
        <v>64</v>
      </c>
      <c r="L9" s="178"/>
      <c r="M9" s="179"/>
      <c r="O9" s="5" t="str">
        <f>IF(B9&gt;0,_xlfn.CONCAT("Athletics (endurance) ",B9,", "),"")</f>
        <v xml:space="preserve">Athletics (endurance) 3, </v>
      </c>
      <c r="P9" s="137">
        <f>-500*E9</f>
        <v>10500</v>
      </c>
      <c r="R9" s="116" t="s">
        <v>49</v>
      </c>
      <c r="S9" s="162" t="str">
        <f>IF(COUNT(B19:B26)=0,"none",_xlfn.CONCAT(COUNT(B19:B26), " X (STR ",H19," DEX ",L19,")"))</f>
        <v>1 X (STR 5 DEX 6)</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1728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(+3),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N/A (INT 4)</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Medical Chamber, Medical Chamber Option: Low berth (basic), Medikit (basic), Storage Compartment (refrigerated), Storage Compartment (standard), Vacuum Environment Protection,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1728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6</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13</v>
      </c>
      <c r="K19" s="16">
        <v>0</v>
      </c>
      <c r="L19" s="61">
        <f t="shared" ref="L19:L28" si="5">D19+K19</f>
        <v>6</v>
      </c>
      <c r="M19" s="62">
        <f t="shared" ref="M19:M28" si="6">IF(L19&gt;17,4,IF(L19&gt;14,3,IF(L19&gt;11,2,IF(L19&gt;8,1,IF(L19&gt;5,0,IF(L19&gt;2,-1,-2))))))</f>
        <v>0</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13</v>
      </c>
      <c r="K20" s="16"/>
      <c r="L20" s="6">
        <f t="shared" si="5"/>
        <v>0</v>
      </c>
      <c r="M20" s="21">
        <f t="shared" si="6"/>
        <v>-2</v>
      </c>
      <c r="O20" s="5" t="str">
        <f t="shared" si="7"/>
        <v/>
      </c>
      <c r="P20" s="137">
        <f>IF((B20-$B$4)*100&gt;-0.2*$P$5,(B20-$B$4)*100,-0.2*$P$5)+B20*100*(G20)^2+B20*200*(K20)^2</f>
        <v>-700</v>
      </c>
      <c r="R20" s="232" t="s">
        <v>882</v>
      </c>
      <c r="S20" s="233"/>
      <c r="T20" s="233"/>
      <c r="U20" s="233"/>
      <c r="V20" s="233"/>
      <c r="W20" s="233"/>
      <c r="X20" s="233"/>
      <c r="Y20" s="233"/>
      <c r="Z20" s="234"/>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13</v>
      </c>
      <c r="K21" s="16"/>
      <c r="L21" s="6">
        <f t="shared" si="5"/>
        <v>0</v>
      </c>
      <c r="M21" s="21">
        <f t="shared" si="6"/>
        <v>-2</v>
      </c>
      <c r="O21" s="5" t="str">
        <f t="shared" si="7"/>
        <v/>
      </c>
      <c r="P21" s="137">
        <f t="shared" ref="P21:P26" si="9">(B21)*100+B21*100*(G21)^2+B21*200*(K21)^2</f>
        <v>0</v>
      </c>
      <c r="R21" s="235"/>
      <c r="S21" s="236"/>
      <c r="T21" s="236"/>
      <c r="U21" s="236"/>
      <c r="V21" s="236"/>
      <c r="W21" s="236"/>
      <c r="X21" s="236"/>
      <c r="Y21" s="236"/>
      <c r="Z21" s="237"/>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13</v>
      </c>
      <c r="K22" s="16"/>
      <c r="L22" s="6">
        <f t="shared" si="5"/>
        <v>0</v>
      </c>
      <c r="M22" s="21">
        <f t="shared" si="6"/>
        <v>-2</v>
      </c>
      <c r="O22" s="5" t="str">
        <f t="shared" si="7"/>
        <v/>
      </c>
      <c r="P22" s="137">
        <f t="shared" si="9"/>
        <v>0</v>
      </c>
      <c r="R22" s="235"/>
      <c r="S22" s="236"/>
      <c r="T22" s="236"/>
      <c r="U22" s="236"/>
      <c r="V22" s="236"/>
      <c r="W22" s="236"/>
      <c r="X22" s="236"/>
      <c r="Y22" s="236"/>
      <c r="Z22" s="237"/>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13</v>
      </c>
      <c r="K23" s="16"/>
      <c r="L23" s="6">
        <f t="shared" si="5"/>
        <v>0</v>
      </c>
      <c r="M23" s="21">
        <f t="shared" si="6"/>
        <v>-2</v>
      </c>
      <c r="O23" s="5" t="str">
        <f t="shared" si="7"/>
        <v/>
      </c>
      <c r="P23" s="137">
        <f t="shared" si="9"/>
        <v>0</v>
      </c>
      <c r="R23" s="235"/>
      <c r="S23" s="236"/>
      <c r="T23" s="236"/>
      <c r="U23" s="236"/>
      <c r="V23" s="236"/>
      <c r="W23" s="236"/>
      <c r="X23" s="236"/>
      <c r="Y23" s="236"/>
      <c r="Z23" s="237"/>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13</v>
      </c>
      <c r="K24" s="16"/>
      <c r="L24" s="6">
        <f t="shared" si="5"/>
        <v>0</v>
      </c>
      <c r="M24" s="21">
        <f t="shared" si="6"/>
        <v>-2</v>
      </c>
      <c r="O24" s="5" t="str">
        <f t="shared" si="7"/>
        <v/>
      </c>
      <c r="P24" s="137">
        <f t="shared" si="9"/>
        <v>0</v>
      </c>
      <c r="R24" s="235"/>
      <c r="S24" s="236"/>
      <c r="T24" s="236"/>
      <c r="U24" s="236"/>
      <c r="V24" s="236"/>
      <c r="W24" s="236"/>
      <c r="X24" s="236"/>
      <c r="Y24" s="236"/>
      <c r="Z24" s="237"/>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13</v>
      </c>
      <c r="K25" s="16"/>
      <c r="L25" s="6">
        <f t="shared" si="5"/>
        <v>0</v>
      </c>
      <c r="M25" s="21">
        <f t="shared" si="6"/>
        <v>-2</v>
      </c>
      <c r="O25" s="5" t="str">
        <f t="shared" si="7"/>
        <v/>
      </c>
      <c r="P25" s="137">
        <f t="shared" si="9"/>
        <v>0</v>
      </c>
      <c r="R25" s="235"/>
      <c r="S25" s="236"/>
      <c r="T25" s="236"/>
      <c r="U25" s="236"/>
      <c r="V25" s="236"/>
      <c r="W25" s="236"/>
      <c r="X25" s="236"/>
      <c r="Y25" s="236"/>
      <c r="Z25" s="237"/>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13</v>
      </c>
      <c r="K26" s="81"/>
      <c r="L26" s="82">
        <f t="shared" si="5"/>
        <v>0</v>
      </c>
      <c r="M26" s="83">
        <f t="shared" si="6"/>
        <v>-2</v>
      </c>
      <c r="O26" s="5" t="str">
        <f t="shared" si="7"/>
        <v/>
      </c>
      <c r="P26" s="137">
        <f t="shared" si="9"/>
        <v>0</v>
      </c>
      <c r="R26" s="235"/>
      <c r="S26" s="236"/>
      <c r="T26" s="236"/>
      <c r="U26" s="236"/>
      <c r="V26" s="236"/>
      <c r="W26" s="236"/>
      <c r="X26" s="236"/>
      <c r="Y26" s="236"/>
      <c r="Z26" s="237"/>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13</v>
      </c>
      <c r="K27" s="86"/>
      <c r="L27" s="87">
        <f t="shared" si="5"/>
        <v>0</v>
      </c>
      <c r="M27" s="88">
        <f t="shared" si="6"/>
        <v>-2</v>
      </c>
      <c r="N27" s="74"/>
      <c r="O27" s="89" t="str">
        <f t="shared" si="7"/>
        <v/>
      </c>
      <c r="P27" s="138">
        <f>(B27)*100*$B$4+B27*$B$4*100*(G27)^2+B27*$B$4*200*(K27)^2</f>
        <v>0</v>
      </c>
      <c r="R27" s="235"/>
      <c r="S27" s="236"/>
      <c r="T27" s="236"/>
      <c r="U27" s="236"/>
      <c r="V27" s="236"/>
      <c r="W27" s="236"/>
      <c r="X27" s="236"/>
      <c r="Y27" s="236"/>
      <c r="Z27" s="237"/>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13</v>
      </c>
      <c r="K28" s="19"/>
      <c r="L28" s="20">
        <f t="shared" si="5"/>
        <v>0</v>
      </c>
      <c r="M28" s="22">
        <f t="shared" si="6"/>
        <v>-2</v>
      </c>
      <c r="N28" s="24"/>
      <c r="O28" s="5" t="str">
        <f t="shared" si="7"/>
        <v/>
      </c>
      <c r="P28" s="136">
        <f>(B28)*100*$B$4+B28*$B$4*100*(G28)^2+B28*$B$4*200*(K28)^2</f>
        <v>0</v>
      </c>
      <c r="R28" s="235"/>
      <c r="S28" s="236"/>
      <c r="T28" s="236"/>
      <c r="U28" s="236"/>
      <c r="V28" s="236"/>
      <c r="W28" s="236"/>
      <c r="X28" s="236"/>
      <c r="Y28" s="236"/>
      <c r="Z28" s="237"/>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235"/>
      <c r="S29" s="236"/>
      <c r="T29" s="236"/>
      <c r="U29" s="236"/>
      <c r="V29" s="236"/>
      <c r="W29" s="236"/>
      <c r="X29" s="236"/>
      <c r="Y29" s="236"/>
      <c r="Z29" s="237"/>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235"/>
      <c r="S30" s="236"/>
      <c r="T30" s="236"/>
      <c r="U30" s="236"/>
      <c r="V30" s="236"/>
      <c r="W30" s="236"/>
      <c r="X30" s="236"/>
      <c r="Y30" s="236"/>
      <c r="Z30" s="237"/>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235"/>
      <c r="S31" s="236"/>
      <c r="T31" s="236"/>
      <c r="U31" s="236"/>
      <c r="V31" s="236"/>
      <c r="W31" s="236"/>
      <c r="X31" s="236"/>
      <c r="Y31" s="236"/>
      <c r="Z31" s="237"/>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235"/>
      <c r="S32" s="236"/>
      <c r="T32" s="236"/>
      <c r="U32" s="236"/>
      <c r="V32" s="236"/>
      <c r="W32" s="236"/>
      <c r="X32" s="236"/>
      <c r="Y32" s="236"/>
      <c r="Z32" s="237"/>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235"/>
      <c r="S33" s="236"/>
      <c r="T33" s="236"/>
      <c r="U33" s="236"/>
      <c r="V33" s="236"/>
      <c r="W33" s="236"/>
      <c r="X33" s="236"/>
      <c r="Y33" s="236"/>
      <c r="Z33" s="237"/>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235"/>
      <c r="S34" s="236"/>
      <c r="T34" s="236"/>
      <c r="U34" s="236"/>
      <c r="V34" s="236"/>
      <c r="W34" s="236"/>
      <c r="X34" s="236"/>
      <c r="Y34" s="236"/>
      <c r="Z34" s="237"/>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235"/>
      <c r="S35" s="236"/>
      <c r="T35" s="236"/>
      <c r="U35" s="236"/>
      <c r="V35" s="236"/>
      <c r="W35" s="236"/>
      <c r="X35" s="236"/>
      <c r="Y35" s="236"/>
      <c r="Z35" s="237"/>
    </row>
    <row r="36" spans="1:26" ht="12" customHeight="1" x14ac:dyDescent="0.35">
      <c r="A36" s="197" t="s">
        <v>240</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-50</v>
      </c>
      <c r="F36" s="38">
        <f>IF(_xlfn.XLOOKUP(A36,OptionsTable[Name],OptionsTable[xS],,,)=FALSE,1,IF($B$4&gt;0,$E$4,1))</f>
        <v>1</v>
      </c>
      <c r="G36" s="58">
        <v>50</v>
      </c>
      <c r="H36" s="199" t="str">
        <f>IF(_xlfn.XLOOKUP(A36,OptionsTable[Name],OptionsTable[Notes],,,)="","",_xlfn.XLOOKUP(A36,OptionsTable[Name],OptionsTable[Notes],,,))</f>
        <v>DM+1 to Max skill</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10000</v>
      </c>
      <c r="R36" s="235"/>
      <c r="S36" s="236"/>
      <c r="T36" s="236"/>
      <c r="U36" s="236"/>
      <c r="V36" s="236"/>
      <c r="W36" s="236"/>
      <c r="X36" s="236"/>
      <c r="Y36" s="236"/>
      <c r="Z36" s="237"/>
    </row>
    <row r="37" spans="1:26" ht="12" customHeight="1" x14ac:dyDescent="0.35">
      <c r="A37" s="197" t="s">
        <v>559</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-8</v>
      </c>
      <c r="F37" s="38">
        <f>IF(_xlfn.XLOOKUP(A37,OptionsTable[Name],OptionsTable[xS],,,)=FALSE,1,IF($B$4&gt;0,$E$4,1))</f>
        <v>1</v>
      </c>
      <c r="G37" s="58"/>
      <c r="H37" s="199" t="str">
        <f>IF(_xlfn.XLOOKUP(A37,OptionsTable[Name],OptionsTable[Notes],,,)="","",_xlfn.XLOOKUP(A37,OptionsTable[Name],OptionsTable[Notes],,,))</f>
        <v/>
      </c>
      <c r="I37" s="200"/>
      <c r="J37" s="200"/>
      <c r="K37" s="44">
        <f>_xlfn.XLOOKUP(A37,OptionsTable[Name],OptionsTable[TL],,,)</f>
        <v>10</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20000</v>
      </c>
      <c r="R37" s="235"/>
      <c r="S37" s="236"/>
      <c r="T37" s="236"/>
      <c r="U37" s="236"/>
      <c r="V37" s="236"/>
      <c r="W37" s="236"/>
      <c r="X37" s="236"/>
      <c r="Y37" s="236"/>
      <c r="Z37" s="237"/>
    </row>
    <row r="38" spans="1:26" ht="12" customHeight="1" x14ac:dyDescent="0.35">
      <c r="A38" s="197" t="s">
        <v>200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-1</v>
      </c>
      <c r="F38" s="38">
        <f>IF(_xlfn.XLOOKUP(A38,OptionsTable[Name],OptionsTable[xS],,,)=FALSE,1,IF($B$4&gt;0,$E$4,1))</f>
        <v>1</v>
      </c>
      <c r="G38" s="58"/>
      <c r="H38" s="199" t="str">
        <f>IF(_xlfn.XLOOKUP(A38,OptionsTable[Name],OptionsTable[Notes],,,)="","",_xlfn.XLOOKUP(A38,OptionsTable[Name],OptionsTable[Notes],,,))</f>
        <v>0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1000</v>
      </c>
      <c r="R38" s="235"/>
      <c r="S38" s="236"/>
      <c r="T38" s="236"/>
      <c r="U38" s="236"/>
      <c r="V38" s="236"/>
      <c r="W38" s="236"/>
      <c r="X38" s="236"/>
      <c r="Y38" s="236"/>
      <c r="Z38" s="237"/>
    </row>
    <row r="39" spans="1:26" ht="12" customHeight="1" x14ac:dyDescent="0.35">
      <c r="A39" s="197" t="s">
        <v>190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-2</v>
      </c>
      <c r="F39" s="38">
        <f>IF(_xlfn.XLOOKUP(A39,OptionsTable[Name],OptionsTable[xS],,,)=FALSE,1,IF($B$4&gt;0,$E$4,1))</f>
        <v>1</v>
      </c>
      <c r="G39" s="58">
        <v>2</v>
      </c>
      <c r="H39" s="199" t="str">
        <f>IF(_xlfn.XLOOKUP(A39,OptionsTable[Name],OptionsTable[Notes],,,)="","",_xlfn.XLOOKUP(A39,OptionsTable[Name],OptionsTable[Notes],,,))</f>
        <v>2 kg or litres / slot</v>
      </c>
      <c r="I39" s="200"/>
      <c r="J39" s="200"/>
      <c r="K39" s="44">
        <f>_xlfn.XLOOKUP(A39,OptionsTable[Name],OptionsTable[TL],,,)</f>
        <v>6</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200</v>
      </c>
      <c r="R39" s="235"/>
      <c r="S39" s="236"/>
      <c r="T39" s="236"/>
      <c r="U39" s="236"/>
      <c r="V39" s="236"/>
      <c r="W39" s="236"/>
      <c r="X39" s="236"/>
      <c r="Y39" s="236"/>
      <c r="Z39" s="237"/>
    </row>
    <row r="40" spans="1:26" ht="12" customHeight="1" x14ac:dyDescent="0.35">
      <c r="A40" s="197" t="s">
        <v>471</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-12</v>
      </c>
      <c r="F40" s="38">
        <f>IF(_xlfn.XLOOKUP(A40,OptionsTable[Name],OptionsTable[xS],,,)=FALSE,1,IF($B$4&gt;0,$E$4,1))</f>
        <v>1</v>
      </c>
      <c r="G40" s="58">
        <v>12</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600</v>
      </c>
      <c r="R40" s="235"/>
      <c r="S40" s="236"/>
      <c r="T40" s="236"/>
      <c r="U40" s="236"/>
      <c r="V40" s="236"/>
      <c r="W40" s="236"/>
      <c r="X40" s="236"/>
      <c r="Y40" s="236"/>
      <c r="Z40" s="237"/>
    </row>
    <row r="41" spans="1:26" ht="12" customHeight="1" x14ac:dyDescent="0.35">
      <c r="A41" s="197" t="s">
        <v>100</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64</v>
      </c>
      <c r="G41" s="58"/>
      <c r="H41" s="199" t="str">
        <f>IF(_xlfn.XLOOKUP(A41,OptionsTable[Name],OptionsTable[Notes],,,)="","",_xlfn.XLOOKUP(A41,OptionsTable[Name],OptionsTable[Notes],,,))</f>
        <v>+ Hostile env</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38400</v>
      </c>
      <c r="R41" s="235"/>
      <c r="S41" s="236"/>
      <c r="T41" s="236"/>
      <c r="U41" s="236"/>
      <c r="V41" s="236"/>
      <c r="W41" s="236"/>
      <c r="X41" s="236"/>
      <c r="Y41" s="236"/>
      <c r="Z41" s="237"/>
    </row>
    <row r="42" spans="1:26" ht="12" customHeight="1" x14ac:dyDescent="0.35">
      <c r="A42" s="197"/>
      <c r="B42" s="198"/>
      <c r="C42" s="198"/>
      <c r="D42" s="24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235"/>
      <c r="S42" s="236"/>
      <c r="T42" s="236"/>
      <c r="U42" s="236"/>
      <c r="V42" s="236"/>
      <c r="W42" s="236"/>
      <c r="X42" s="236"/>
      <c r="Y42" s="236"/>
      <c r="Z42" s="237"/>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235"/>
      <c r="S43" s="236"/>
      <c r="T43" s="236"/>
      <c r="U43" s="236"/>
      <c r="V43" s="236"/>
      <c r="W43" s="236"/>
      <c r="X43" s="236"/>
      <c r="Y43" s="236"/>
      <c r="Z43" s="237"/>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235"/>
      <c r="S44" s="236"/>
      <c r="T44" s="236"/>
      <c r="U44" s="236"/>
      <c r="V44" s="236"/>
      <c r="W44" s="236"/>
      <c r="X44" s="236"/>
      <c r="Y44" s="236"/>
      <c r="Z44" s="237"/>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235"/>
      <c r="S45" s="236"/>
      <c r="T45" s="236"/>
      <c r="U45" s="236"/>
      <c r="V45" s="236"/>
      <c r="W45" s="236"/>
      <c r="X45" s="236"/>
      <c r="Y45" s="236"/>
      <c r="Z45" s="237"/>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235"/>
      <c r="S46" s="236"/>
      <c r="T46" s="236"/>
      <c r="U46" s="236"/>
      <c r="V46" s="236"/>
      <c r="W46" s="236"/>
      <c r="X46" s="236"/>
      <c r="Y46" s="236"/>
      <c r="Z46" s="237"/>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235"/>
      <c r="S47" s="236"/>
      <c r="T47" s="236"/>
      <c r="U47" s="236"/>
      <c r="V47" s="236"/>
      <c r="W47" s="236"/>
      <c r="X47" s="236"/>
      <c r="Y47" s="236"/>
      <c r="Z47" s="237"/>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235"/>
      <c r="S48" s="236"/>
      <c r="T48" s="236"/>
      <c r="U48" s="236"/>
      <c r="V48" s="236"/>
      <c r="W48" s="236"/>
      <c r="X48" s="236"/>
      <c r="Y48" s="236"/>
      <c r="Z48" s="237"/>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235"/>
      <c r="S49" s="236"/>
      <c r="T49" s="236"/>
      <c r="U49" s="236"/>
      <c r="V49" s="236"/>
      <c r="W49" s="236"/>
      <c r="X49" s="236"/>
      <c r="Y49" s="236"/>
      <c r="Z49" s="237"/>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235"/>
      <c r="S50" s="236"/>
      <c r="T50" s="236"/>
      <c r="U50" s="236"/>
      <c r="V50" s="236"/>
      <c r="W50" s="236"/>
      <c r="X50" s="236"/>
      <c r="Y50" s="236"/>
      <c r="Z50" s="237"/>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235"/>
      <c r="S51" s="236"/>
      <c r="T51" s="236"/>
      <c r="U51" s="236"/>
      <c r="V51" s="236"/>
      <c r="W51" s="236"/>
      <c r="X51" s="236"/>
      <c r="Y51" s="236"/>
      <c r="Z51" s="237"/>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235"/>
      <c r="S52" s="236"/>
      <c r="T52" s="236"/>
      <c r="U52" s="236"/>
      <c r="V52" s="236"/>
      <c r="W52" s="236"/>
      <c r="X52" s="236"/>
      <c r="Y52" s="236"/>
      <c r="Z52" s="237"/>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235"/>
      <c r="S53" s="236"/>
      <c r="T53" s="236"/>
      <c r="U53" s="236"/>
      <c r="V53" s="236"/>
      <c r="W53" s="236"/>
      <c r="X53" s="236"/>
      <c r="Y53" s="236"/>
      <c r="Z53" s="237"/>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235"/>
      <c r="S54" s="236"/>
      <c r="T54" s="236"/>
      <c r="U54" s="236"/>
      <c r="V54" s="236"/>
      <c r="W54" s="236"/>
      <c r="X54" s="236"/>
      <c r="Y54" s="236"/>
      <c r="Z54" s="237"/>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235"/>
      <c r="S55" s="236"/>
      <c r="T55" s="236"/>
      <c r="U55" s="236"/>
      <c r="V55" s="236"/>
      <c r="W55" s="236"/>
      <c r="X55" s="236"/>
      <c r="Y55" s="236"/>
      <c r="Z55" s="237"/>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235"/>
      <c r="S56" s="236"/>
      <c r="T56" s="236"/>
      <c r="U56" s="236"/>
      <c r="V56" s="236"/>
      <c r="W56" s="236"/>
      <c r="X56" s="236"/>
      <c r="Y56" s="236"/>
      <c r="Z56" s="237"/>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235"/>
      <c r="S57" s="236"/>
      <c r="T57" s="236"/>
      <c r="U57" s="236"/>
      <c r="V57" s="236"/>
      <c r="W57" s="236"/>
      <c r="X57" s="236"/>
      <c r="Y57" s="236"/>
      <c r="Z57" s="237"/>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235"/>
      <c r="S58" s="236"/>
      <c r="T58" s="236"/>
      <c r="U58" s="236"/>
      <c r="V58" s="236"/>
      <c r="W58" s="236"/>
      <c r="X58" s="236"/>
      <c r="Y58" s="236"/>
      <c r="Z58" s="237"/>
    </row>
    <row r="59" spans="1:26" ht="12" customHeight="1" x14ac:dyDescent="0.35">
      <c r="A59" s="226" t="s">
        <v>359</v>
      </c>
      <c r="B59" s="227"/>
      <c r="C59" s="227"/>
      <c r="D59" s="227"/>
      <c r="E59" s="40"/>
      <c r="F59" s="38"/>
      <c r="G59" s="108"/>
      <c r="H59" s="228"/>
      <c r="I59" s="229"/>
      <c r="J59" s="51"/>
      <c r="K59" s="50"/>
      <c r="L59" s="51"/>
      <c r="M59" s="51"/>
      <c r="N59" s="51"/>
      <c r="P59" s="141"/>
      <c r="R59" s="235"/>
      <c r="S59" s="236"/>
      <c r="T59" s="236"/>
      <c r="U59" s="236"/>
      <c r="V59" s="236"/>
      <c r="W59" s="236"/>
      <c r="X59" s="236"/>
      <c r="Y59" s="236"/>
      <c r="Z59" s="237"/>
    </row>
    <row r="60" spans="1:26" ht="12" customHeight="1" x14ac:dyDescent="0.35">
      <c r="A60" s="197"/>
      <c r="B60" s="198"/>
      <c r="C60" s="198"/>
      <c r="D60" s="198"/>
      <c r="E60" s="40"/>
      <c r="F60" s="38"/>
      <c r="G60" s="58"/>
      <c r="H60" s="199"/>
      <c r="I60" s="219"/>
      <c r="J60" s="23"/>
      <c r="K60" s="45"/>
      <c r="L60" s="23"/>
      <c r="M60" s="23"/>
      <c r="N60" s="23"/>
      <c r="P60" s="142"/>
      <c r="R60" s="235"/>
      <c r="S60" s="236"/>
      <c r="T60" s="236"/>
      <c r="U60" s="236"/>
      <c r="V60" s="236"/>
      <c r="W60" s="236"/>
      <c r="X60" s="236"/>
      <c r="Y60" s="236"/>
      <c r="Z60" s="237"/>
    </row>
    <row r="61" spans="1:26" ht="12" customHeight="1" x14ac:dyDescent="0.35">
      <c r="A61" s="197"/>
      <c r="B61" s="198"/>
      <c r="C61" s="198"/>
      <c r="D61" s="198"/>
      <c r="E61" s="40"/>
      <c r="F61" s="38"/>
      <c r="G61" s="58"/>
      <c r="H61" s="199"/>
      <c r="I61" s="219"/>
      <c r="J61" s="23"/>
      <c r="K61" s="45"/>
      <c r="L61" s="23"/>
      <c r="M61" s="23"/>
      <c r="N61" s="23"/>
      <c r="P61" s="142"/>
      <c r="R61" s="235"/>
      <c r="S61" s="236"/>
      <c r="T61" s="236"/>
      <c r="U61" s="236"/>
      <c r="V61" s="236"/>
      <c r="W61" s="236"/>
      <c r="X61" s="236"/>
      <c r="Y61" s="236"/>
      <c r="Z61" s="237"/>
    </row>
    <row r="62" spans="1:26" ht="12" customHeight="1" thickBot="1" x14ac:dyDescent="0.4">
      <c r="E62" s="40"/>
      <c r="F62" s="38"/>
      <c r="K62" s="40"/>
      <c r="R62" s="235"/>
      <c r="S62" s="236"/>
      <c r="T62" s="236"/>
      <c r="U62" s="236"/>
      <c r="V62" s="236"/>
      <c r="W62" s="236"/>
      <c r="X62" s="236"/>
      <c r="Y62" s="236"/>
      <c r="Z62" s="237"/>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235"/>
      <c r="S63" s="236"/>
      <c r="T63" s="236"/>
      <c r="U63" s="236"/>
      <c r="V63" s="236"/>
      <c r="W63" s="236"/>
      <c r="X63" s="236"/>
      <c r="Y63" s="236"/>
      <c r="Z63" s="237"/>
    </row>
    <row r="64" spans="1:26" ht="12" customHeight="1" x14ac:dyDescent="0.35">
      <c r="A64" s="93" t="s">
        <v>309</v>
      </c>
      <c r="B64" s="226" t="s">
        <v>76</v>
      </c>
      <c r="C64" s="227"/>
      <c r="D64" s="227"/>
      <c r="E64" s="40">
        <f>IF(L64+K64-O2&gt;B4,-1,0)</f>
        <v>0</v>
      </c>
      <c r="F64" s="38"/>
      <c r="H64" s="1">
        <f>_xlfn.XLOOKUP(B64,Brains[Programming/Control],Brains[Base INT],,,)</f>
        <v>4</v>
      </c>
      <c r="I64" s="31">
        <f>IF(H64&gt;17,4,IF(H64&gt;14,3,IF(H64&gt;11,2,IF(H64&gt;8,1,IF(H64&gt;5,0,IF(H64&gt;2,-1,-2))))))</f>
        <v>-1</v>
      </c>
      <c r="J64" s="1">
        <f>_xlfn.XLOOKUP(B64,Brains[Programming/Control],Brains[Computer/X],,,)</f>
        <v>1</v>
      </c>
      <c r="K64" s="44">
        <f>_xlfn.XLOOKUP(B64,Brains[Programming/Control],Brains[TL],,,)</f>
        <v>10</v>
      </c>
      <c r="L64">
        <f>_xlfn.XLOOKUP(B64,Brains[Programming/Control],Brains[Computer/X],,,)</f>
        <v>1</v>
      </c>
      <c r="M64" s="12" t="str">
        <f>_xlfn.XLOOKUP(B64,Brains[Programming/Control],Brains[Base capability (built-in no bandwidth, cumulative)],,,)</f>
        <v>Limited language, Security/0</v>
      </c>
      <c r="N64" s="12"/>
      <c r="O64" s="12" t="str">
        <f>IF(_xlfn.XLOOKUP(B64,Brains[Programming/Control],Brains[Skill],,,)="","",_xlfn.XLOOKUP(B64,Brains[Programming/Control],Brains[Skill],,,))</f>
        <v/>
      </c>
      <c r="P64" s="137">
        <f>_xlfn.XLOOKUP(B64,Brains[Programming/Control],Brains[Cost],,,)*IF(L64&gt;2,2/(2)^(1+O2-K64),1)</f>
        <v>4000</v>
      </c>
      <c r="R64" s="235"/>
      <c r="S64" s="236"/>
      <c r="T64" s="236"/>
      <c r="U64" s="236"/>
      <c r="V64" s="236"/>
      <c r="W64" s="236"/>
      <c r="X64" s="236"/>
      <c r="Y64" s="236"/>
      <c r="Z64" s="237"/>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1</v>
      </c>
      <c r="M65" t="s">
        <v>310</v>
      </c>
      <c r="P65" s="137">
        <f>_xlfn.XLOOKUP(B65,Bandwidth[Minimum Base Brain],Bandwidth[Cost],,,)</f>
        <v>0</v>
      </c>
      <c r="R65" s="235"/>
      <c r="S65" s="236"/>
      <c r="T65" s="236"/>
      <c r="U65" s="236"/>
      <c r="V65" s="236"/>
      <c r="W65" s="236"/>
      <c r="X65" s="236"/>
      <c r="Y65" s="236"/>
      <c r="Z65" s="237"/>
    </row>
    <row r="66" spans="1:26" ht="12" customHeight="1" x14ac:dyDescent="0.35">
      <c r="A66" s="93" t="s">
        <v>708</v>
      </c>
      <c r="B66" s="29">
        <v>0</v>
      </c>
      <c r="E66" s="40"/>
      <c r="F66" s="38" cm="1">
        <f t="array" ref="F66">_xlfn.IFS(B66=0,0,B66=1,-1,B66=2,-3,B66=3,-6)</f>
        <v>0</v>
      </c>
      <c r="H66" s="6">
        <f>H64+B66</f>
        <v>4</v>
      </c>
      <c r="I66" s="15">
        <f>IF(H66&gt;17,4,IF(H66&gt;14,3,IF(H66&gt;11,2,IF(H66&gt;8,1,IF(H66&gt;5,0,IF(H66&gt;2,-1,-2))))))</f>
        <v>-1</v>
      </c>
      <c r="K66" s="44"/>
      <c r="L66" s="56">
        <f>L65+F66</f>
        <v>1</v>
      </c>
      <c r="M66" t="s">
        <v>310</v>
      </c>
      <c r="P66" s="137" cm="1">
        <f t="array" ref="P66">_xlfn.IFS(B66=0,0,B66=1,(H64+1)*1000,B66=2,(H64+1)*(H64+2)*1000,B66=3,(H64+1)*(H64+2)*(H64+3)*1000)*IF(H66&gt;11,2,1)</f>
        <v>0</v>
      </c>
      <c r="R66" s="235"/>
      <c r="S66" s="236"/>
      <c r="T66" s="236"/>
      <c r="U66" s="236"/>
      <c r="V66" s="236"/>
      <c r="W66" s="236"/>
      <c r="X66" s="236"/>
      <c r="Y66" s="236"/>
      <c r="Z66" s="237"/>
    </row>
    <row r="67" spans="1:26" ht="12" customHeight="1" thickBot="1" x14ac:dyDescent="0.4">
      <c r="A67" s="93" t="s">
        <v>308</v>
      </c>
      <c r="B67" s="28" t="b">
        <v>0</v>
      </c>
      <c r="C67" s="24"/>
      <c r="D67" s="24"/>
      <c r="E67" s="41"/>
      <c r="F67" s="39"/>
      <c r="G67" s="24"/>
      <c r="H67" s="47"/>
      <c r="I67" s="24"/>
      <c r="J67" s="105">
        <f>J64-COUNTIF(G73:G90,0)</f>
        <v>1</v>
      </c>
      <c r="K67" s="43"/>
      <c r="L67" s="57">
        <f>L66-SUM(G69:G90)</f>
        <v>0</v>
      </c>
      <c r="M67" s="24" t="s">
        <v>312</v>
      </c>
      <c r="N67" s="25" t="str">
        <f>IF(B67,"Hardened, ","")</f>
        <v/>
      </c>
      <c r="O67" s="24"/>
      <c r="P67" s="136">
        <f>B67*(P65+P64)*0.5</f>
        <v>0</v>
      </c>
      <c r="R67" s="235"/>
      <c r="S67" s="236"/>
      <c r="T67" s="236"/>
      <c r="U67" s="236"/>
      <c r="V67" s="236"/>
      <c r="W67" s="236"/>
      <c r="X67" s="236"/>
      <c r="Y67" s="236"/>
      <c r="Z67" s="237"/>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235"/>
      <c r="S68" s="236"/>
      <c r="T68" s="236"/>
      <c r="U68" s="236"/>
      <c r="V68" s="236"/>
      <c r="W68" s="236"/>
      <c r="X68" s="236"/>
      <c r="Y68" s="236"/>
      <c r="Z68" s="237"/>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235"/>
      <c r="S69" s="236"/>
      <c r="T69" s="236"/>
      <c r="U69" s="236"/>
      <c r="V69" s="236"/>
      <c r="W69" s="236"/>
      <c r="X69" s="236"/>
      <c r="Y69" s="236"/>
      <c r="Z69" s="237"/>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235"/>
      <c r="S70" s="236"/>
      <c r="T70" s="236"/>
      <c r="U70" s="236"/>
      <c r="V70" s="236"/>
      <c r="W70" s="236"/>
      <c r="X70" s="236"/>
      <c r="Y70" s="236"/>
      <c r="Z70" s="237"/>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235"/>
      <c r="S71" s="236"/>
      <c r="T71" s="236"/>
      <c r="U71" s="236"/>
      <c r="V71" s="236"/>
      <c r="W71" s="236"/>
      <c r="X71" s="236"/>
      <c r="Y71" s="236"/>
      <c r="Z71" s="237"/>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235"/>
      <c r="S72" s="236"/>
      <c r="T72" s="236"/>
      <c r="U72" s="236"/>
      <c r="V72" s="236"/>
      <c r="W72" s="236"/>
      <c r="X72" s="236"/>
      <c r="Y72" s="236"/>
      <c r="Z72" s="237"/>
    </row>
    <row r="73" spans="1:26" ht="12" customHeight="1" x14ac:dyDescent="0.35">
      <c r="A73" s="48" t="s">
        <v>131</v>
      </c>
      <c r="B73" s="228"/>
      <c r="C73" s="229"/>
      <c r="D73" s="58">
        <v>1</v>
      </c>
      <c r="E73" s="40"/>
      <c r="G73" s="59">
        <f>IF(A73="N/A","",D73+_xlfn.XLOOKUP(A73,StandardBrain[Name],StandardBrain[Bandwidth],,,))</f>
        <v>1</v>
      </c>
      <c r="I73" s="59" t="str">
        <f>_xlfn.XLOOKUP(A73,StandardBrain[Name],StandardBrain[Characteristic],,,)</f>
        <v>INT</v>
      </c>
      <c r="K73" s="44">
        <f>_xlfn.XLOOKUP(A73,StandardBrain[Name],StandardBrain[TL],,,)+D73</f>
        <v>10</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0, </v>
      </c>
      <c r="P73" s="137">
        <f>_xlfn.XLOOKUP(A73,StandardBrain[Name],StandardBrain[Cr],,,)*10^(D73)</f>
        <v>2000</v>
      </c>
      <c r="R73" s="235"/>
      <c r="S73" s="236"/>
      <c r="T73" s="236"/>
      <c r="U73" s="236"/>
      <c r="V73" s="236"/>
      <c r="W73" s="236"/>
      <c r="X73" s="236"/>
      <c r="Y73" s="236"/>
      <c r="Z73" s="237"/>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235"/>
      <c r="S74" s="236"/>
      <c r="T74" s="236"/>
      <c r="U74" s="236"/>
      <c r="V74" s="236"/>
      <c r="W74" s="236"/>
      <c r="X74" s="236"/>
      <c r="Y74" s="236"/>
      <c r="Z74" s="237"/>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238"/>
      <c r="S75" s="239"/>
      <c r="T75" s="239"/>
      <c r="U75" s="239"/>
      <c r="V75" s="239"/>
      <c r="W75" s="239"/>
      <c r="X75" s="239"/>
      <c r="Y75" s="239"/>
      <c r="Z75" s="240"/>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91600</v>
      </c>
    </row>
    <row r="92" spans="1:16" ht="12" customHeight="1" thickBot="1" x14ac:dyDescent="0.45">
      <c r="A92" s="110"/>
      <c r="O92" s="149" t="str">
        <f>CONCATENATE("Cost With "&amp;X6*100 &amp; "% Discount")</f>
        <v>Cost With 10% Discount</v>
      </c>
      <c r="P92" s="147">
        <f>P2</f>
        <v>82400</v>
      </c>
    </row>
    <row r="93" spans="1:16" ht="12" customHeight="1" x14ac:dyDescent="0.4">
      <c r="B93" s="111"/>
    </row>
    <row r="94" spans="1:16" ht="12" customHeight="1" x14ac:dyDescent="0.35">
      <c r="A94" s="110"/>
      <c r="B94" s="112"/>
    </row>
  </sheetData>
  <sortState xmlns:xlrd2="http://schemas.microsoft.com/office/spreadsheetml/2017/richdata2" ref="A36:D42">
    <sortCondition ref="A36:A42"/>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155" priority="6">
      <formula>ABS($J$14-6) &gt; 6</formula>
    </cfRule>
  </conditionalFormatting>
  <conditionalFormatting sqref="E2">
    <cfRule type="expression" dxfId="154" priority="4">
      <formula>$E$2&lt;0</formula>
    </cfRule>
  </conditionalFormatting>
  <conditionalFormatting sqref="E15:E17">
    <cfRule type="expression" dxfId="153" priority="1">
      <formula>AND($B$4=0,E15&lt;0)</formula>
    </cfRule>
  </conditionalFormatting>
  <conditionalFormatting sqref="K5 K30:K34 K36:K57 K59:K61 K64:K67 K73:K90">
    <cfRule type="expression" dxfId="152" priority="5">
      <formula>K5&gt;$O$2</formula>
    </cfRule>
  </conditionalFormatting>
  <conditionalFormatting sqref="L57">
    <cfRule type="expression" dxfId="151" priority="2">
      <formula>L57&gt;$O$2</formula>
    </cfRule>
  </conditionalFormatting>
  <conditionalFormatting sqref="L67">
    <cfRule type="expression" dxfId="150" priority="3">
      <formula>L67&lt;0</formula>
    </cfRule>
  </conditionalFormatting>
  <dataValidations count="20">
    <dataValidation type="whole" allowBlank="1" showInputMessage="1" showErrorMessage="1" error="Must be a negative number no less than a 50% of the base hits" sqref="B11" xr:uid="{1C67FC22-EF30-4057-B526-D856FE21C997}">
      <formula1>-J4/2</formula1>
      <formula2>0</formula2>
    </dataValidation>
    <dataValidation type="whole" allowBlank="1" showInputMessage="1" showErrorMessage="1" error="Must be whole number. No more than 50% of slots may be used for Resiliency" sqref="B10" xr:uid="{64565710-BBE5-42C9-A82A-1857B65C2F80}">
      <formula1>0</formula1>
      <formula2>E4/2</formula2>
    </dataValidation>
    <dataValidation type="whole" allowBlank="1" showInputMessage="1" showErrorMessage="1" sqref="E11" xr:uid="{3CFF6393-16A8-4054-91D4-5662944BC567}">
      <formula1>0</formula1>
      <formula2>J4/2</formula2>
    </dataValidation>
    <dataValidation type="list" allowBlank="1" showInputMessage="1" showErrorMessage="1" error="Maximum = 3" sqref="B9" xr:uid="{CD7F2901-2AB0-4258-B12C-014377BBA583}">
      <formula1>"0,1,2,3"</formula1>
    </dataValidation>
    <dataValidation type="list" allowBlank="1" showInputMessage="1" showErrorMessage="1" sqref="B4" xr:uid="{855BD62D-5714-495D-8EF1-EF550A5C4711}">
      <formula1>"0,1,2,3,4,5,6,7,8"</formula1>
    </dataValidation>
    <dataValidation type="list" allowBlank="1" showInputMessage="1" showErrorMessage="1" sqref="O2" xr:uid="{3FF7B86F-C526-4020-9AE1-E9939F62EE88}">
      <formula1>"7,8,9,10,11,12,13,14,15,16,17,18"</formula1>
    </dataValidation>
    <dataValidation type="whole" allowBlank="1" showInputMessage="1" showErrorMessage="1" error="Max Manipulator Size = Chassis Size +2_x000a_Min Manipulator Size = 0_x000a_Whole Numbers Only" sqref="B19:B26" xr:uid="{0055359B-045B-44AB-B9FE-24522D292049}">
      <formula1>0</formula1>
      <formula2>$B$4+2</formula2>
    </dataValidation>
    <dataValidation type="list" allowBlank="1" showInputMessage="1" showErrorMessage="1" sqref="B27:B28 B67 B8" xr:uid="{4BD7B44A-B9FD-4ACF-AAC4-EE8BBC555D4D}">
      <formula1>"TRUE,FALSE"</formula1>
    </dataValidation>
    <dataValidation type="list" allowBlank="1" showInputMessage="1" showErrorMessage="1" sqref="B13" xr:uid="{01423FB3-15D7-4879-AB38-93DCE16163DC}">
      <formula1>"0,1,2,3,4"</formula1>
    </dataValidation>
    <dataValidation type="list" allowBlank="1" showInputMessage="1" showErrorMessage="1" sqref="D73:D90 B66" xr:uid="{A9B6B473-32B2-4C6F-B9C1-65B603313EA7}">
      <formula1>"0,1,2,3"</formula1>
    </dataValidation>
    <dataValidation type="list" allowBlank="1" showInputMessage="1" showErrorMessage="1" sqref="B15" xr:uid="{752CAEAA-3CAD-414F-AB5B-E8AABD982ECE}">
      <formula1>"FALSE,TRUE"</formula1>
    </dataValidation>
    <dataValidation type="list" allowBlank="1" showInputMessage="1" showErrorMessage="1" sqref="B16" xr:uid="{E4E60F90-E050-443A-9306-4DFD6F472D39}">
      <formula1>"No,1X,2X,3X"</formula1>
    </dataValidation>
    <dataValidation type="whole" allowBlank="1" showInputMessage="1" showErrorMessage="1" error="Must be whole number between -6 and +12" sqref="B14" xr:uid="{C12CD9D0-1421-4FEE-91B1-3E0FF3AB579F}">
      <formula1>-6</formula1>
      <formula2>12</formula2>
    </dataValidation>
    <dataValidation type="whole" allowBlank="1" showInputMessage="1" showErrorMessage="1" sqref="C11:D11" xr:uid="{5A35EB9E-BF6E-4E35-A627-1742369694CB}">
      <formula1>0</formula1>
      <formula2>D4/2</formula2>
    </dataValidation>
    <dataValidation type="whole" allowBlank="1" showInputMessage="1" showErrorMessage="1" sqref="C13:D13" xr:uid="{6179AAC2-EA91-4145-B103-6236FEA62582}">
      <formula1>0</formula1>
      <formula2>D5/2</formula2>
    </dataValidation>
    <dataValidation type="whole" allowBlank="1" showInputMessage="1" showErrorMessage="1" sqref="C14:D14" xr:uid="{0A1FDCEB-5FDA-4897-8757-D1BC681530F0}">
      <formula1>0</formula1>
      <formula2>D15/2</formula2>
    </dataValidation>
    <dataValidation type="whole" allowBlank="1" showInputMessage="1" showErrorMessage="1" sqref="E13:E14" xr:uid="{7706BE85-EB49-4F99-BB47-B6534D5456E1}">
      <formula1>0</formula1>
      <formula2>#REF!/2</formula2>
    </dataValidation>
    <dataValidation type="whole" allowBlank="1" showInputMessage="1" showErrorMessage="1" error="Max STR = Lesser of Size + TL or SIZE X 4" sqref="G19:G28" xr:uid="{A9FD9518-B93D-46A5-B872-0C7A693DCAA2}">
      <formula1>0</formula1>
      <formula2>F19-C19</formula2>
    </dataValidation>
    <dataValidation type="whole" allowBlank="1" showInputMessage="1" showErrorMessage="1" error="Max DEX = TL+3" sqref="K19:K28" xr:uid="{E924E89B-5C13-4CDC-B039-D2F82B962795}">
      <formula1>0</formula1>
      <formula2>J19-D19</formula2>
    </dataValidation>
    <dataValidation type="whole" allowBlank="1" showInputMessage="1" showErrorMessage="1" error="Total Armour cannot exceed Maximum" sqref="B7" xr:uid="{11BFCE94-51FA-4608-B6F0-B4210D59F7E8}">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46A3B4F7-569D-4882-B1B6-7F7BED2AF602}">
          <x14:formula1>
            <xm:f>Options!$C$9:$C$256</xm:f>
          </x14:formula1>
          <xm:sqref>A36:A56</xm:sqref>
        </x14:dataValidation>
        <x14:dataValidation type="list" allowBlank="1" showInputMessage="1" showErrorMessage="1" xr:uid="{1DB6F660-D1BA-4B36-9328-E6C4D0DFE707}">
          <x14:formula1>
            <xm:f>Options!$C$9:$C$71</xm:f>
          </x14:formula1>
          <xm:sqref>A30:A34</xm:sqref>
        </x14:dataValidation>
        <x14:dataValidation type="list" allowBlank="1" showInputMessage="1" showErrorMessage="1" xr:uid="{0A9F419B-B470-4505-941D-F2F32FF4FDF9}">
          <x14:formula1>
            <xm:f>Packages!$B$29:$B$82</xm:f>
          </x14:formula1>
          <xm:sqref>A73:A90</xm:sqref>
        </x14:dataValidation>
        <x14:dataValidation type="list" allowBlank="1" showInputMessage="1" showErrorMessage="1" xr:uid="{4A344B45-7AED-4DCD-9B99-3866103CCE17}">
          <x14:formula1>
            <xm:f>Chassis!$H$3:$H$13</xm:f>
          </x14:formula1>
          <xm:sqref>B17 B5</xm:sqref>
        </x14:dataValidation>
        <x14:dataValidation type="list" allowBlank="1" showInputMessage="1" showErrorMessage="1" xr:uid="{894ADA1B-6D70-4619-B19C-9BEF70A0D515}">
          <x14:formula1>
            <xm:f>Packages!$B$11:$B$19</xm:f>
          </x14:formula1>
          <xm:sqref>B70</xm:sqref>
        </x14:dataValidation>
        <x14:dataValidation type="list" allowBlank="1" showInputMessage="1" showErrorMessage="1" xr:uid="{A4EDF83C-C068-4E88-92CD-684491347B8C}">
          <x14:formula1>
            <xm:f>Brains!$B$3:$B$19</xm:f>
          </x14:formula1>
          <xm:sqref>B64</xm:sqref>
        </x14:dataValidation>
        <x14:dataValidation type="list" allowBlank="1" showInputMessage="1" showErrorMessage="1" xr:uid="{280FAE04-D9D0-48FA-9FFD-285A792C8A04}">
          <x14:formula1>
            <xm:f>Packages!$B$3:$B$7</xm:f>
          </x14:formula1>
          <xm:sqref>B69</xm:sqref>
        </x14:dataValidation>
        <x14:dataValidation type="list" allowBlank="1" showInputMessage="1" showErrorMessage="1" xr:uid="{68CA475E-E1AF-445C-9201-433E6297A807}">
          <x14:formula1>
            <xm:f>Packages!$B$23:$B$25</xm:f>
          </x14:formula1>
          <xm:sqref>B71</xm:sqref>
        </x14:dataValidation>
        <x14:dataValidation type="list" allowBlank="1" showInputMessage="1" showErrorMessage="1" xr:uid="{26D25787-B987-4FC6-9C15-B83127031903}">
          <x14:formula1>
            <xm:f>Brains!$K$3:$K$16</xm:f>
          </x14:formula1>
          <xm:sqref>B65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6CE3-0ADD-4F4C-A135-518D35A2CBED}">
  <sheetPr>
    <tabColor rgb="FF92D050"/>
  </sheetPr>
  <dimension ref="A1:Z96"/>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871</v>
      </c>
      <c r="C2" s="204"/>
      <c r="D2" s="205"/>
      <c r="E2" s="36">
        <f>SUM(E5:E90)+E4</f>
        <v>1</v>
      </c>
      <c r="F2" s="206" t="s">
        <v>184</v>
      </c>
      <c r="G2" s="207"/>
      <c r="H2" s="208"/>
      <c r="I2" s="203" t="s">
        <v>776</v>
      </c>
      <c r="J2" s="204"/>
      <c r="K2" s="204"/>
      <c r="L2" s="204"/>
      <c r="M2" s="204"/>
      <c r="N2" s="79" t="s">
        <v>315</v>
      </c>
      <c r="O2" s="37">
        <v>12</v>
      </c>
      <c r="P2" s="151">
        <f>Z6</f>
        <v>5871400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19</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Improved AutoBerth (Long Duration)</v>
      </c>
      <c r="S6" s="144">
        <f>M11</f>
        <v>50</v>
      </c>
      <c r="T6" s="144" t="str">
        <f>B5</f>
        <v>None</v>
      </c>
      <c r="U6" s="144" t="str">
        <f>_xlfn.CONCAT(J14," m")</f>
        <v>0 m</v>
      </c>
      <c r="V6" s="145">
        <f>O2</f>
        <v>12</v>
      </c>
      <c r="W6" s="148">
        <f>P91</f>
        <v>6523850</v>
      </c>
      <c r="X6" s="152">
        <f>IF(I2="Standard Design",0.1,0)</f>
        <v>0.1</v>
      </c>
      <c r="Y6" s="153">
        <v>2</v>
      </c>
      <c r="Z6" s="148">
        <f>FLOOR(P91*(1-X6),100)</f>
        <v>5871400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Athletics (endurance) 3, Medic 2,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-21</v>
      </c>
      <c r="F9" s="38"/>
      <c r="G9" s="178" t="s">
        <v>302</v>
      </c>
      <c r="H9" s="178"/>
      <c r="I9" s="179"/>
      <c r="J9" s="52">
        <f>J8*(1+B9)</f>
        <v>2592</v>
      </c>
      <c r="K9" s="177" t="s">
        <v>64</v>
      </c>
      <c r="L9" s="178"/>
      <c r="M9" s="179"/>
      <c r="O9" s="5" t="str">
        <f>IF(B9&gt;0,_xlfn.CONCAT("Athletics (endurance) ",B9,", "),"")</f>
        <v xml:space="preserve">Athletics (endurance) 3, </v>
      </c>
      <c r="P9" s="137">
        <f>-500*E9</f>
        <v>10500</v>
      </c>
      <c r="R9" s="116" t="s">
        <v>49</v>
      </c>
      <c r="S9" s="162" t="str">
        <f>IF(COUNT(B19:B26)=0,"none",_xlfn.CONCAT(COUNT(B19:B26), " X (STR ",H19," DEX ",L19,")"))</f>
        <v>1 X (STR 5 DEX 7)</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2592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(+4),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8)</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(enhanced), Self-Maintenance Enhancement (improved), Storage Compartment (refrigerated), Storage Compartment (standard), Vacuum Environment Protection,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2592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7</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15</v>
      </c>
      <c r="K19" s="16">
        <v>0</v>
      </c>
      <c r="L19" s="61">
        <f t="shared" ref="L19:L28" si="5">D19+K19</f>
        <v>7</v>
      </c>
      <c r="M19" s="62">
        <f t="shared" ref="M19:M28" si="6">IF(L19&gt;17,4,IF(L19&gt;14,3,IF(L19&gt;11,2,IF(L19&gt;8,1,IF(L19&gt;5,0,IF(L19&gt;2,-1,-2))))))</f>
        <v>0</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15</v>
      </c>
      <c r="K20" s="16"/>
      <c r="L20" s="6">
        <f t="shared" si="5"/>
        <v>0</v>
      </c>
      <c r="M20" s="21">
        <f t="shared" si="6"/>
        <v>-2</v>
      </c>
      <c r="O20" s="5" t="str">
        <f t="shared" si="7"/>
        <v/>
      </c>
      <c r="P20" s="137">
        <f>IF((B20-$B$4)*100&gt;-0.2*$P$5,(B20-$B$4)*100,-0.2*$P$5)+B20*100*(G20)^2+B20*200*(K20)^2</f>
        <v>-700</v>
      </c>
      <c r="R20" s="232" t="s">
        <v>883</v>
      </c>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15</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15</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15</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15</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15</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15</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15</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15</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202</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2 max skill</v>
      </c>
      <c r="I39" s="200"/>
      <c r="J39" s="200"/>
      <c r="K39" s="44">
        <f>_xlfn.XLOOKUP(A39,OptionsTable[Name],OptionsTable[TL],,,)</f>
        <v>12</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5000</v>
      </c>
      <c r="R39" s="191"/>
      <c r="S39" s="192"/>
      <c r="T39" s="192"/>
      <c r="U39" s="192"/>
      <c r="V39" s="192"/>
      <c r="W39" s="192"/>
      <c r="X39" s="192"/>
      <c r="Y39" s="192"/>
      <c r="Z39" s="193"/>
    </row>
    <row r="40" spans="1:26" ht="12" customHeight="1" x14ac:dyDescent="0.35">
      <c r="A40" s="197" t="s">
        <v>747</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0</v>
      </c>
      <c r="F40" s="38">
        <f>IF(_xlfn.XLOOKUP(A40,OptionsTable[Name],OptionsTable[xS],,,)=FALSE,1,IF($B$4&gt;0,$E$4,1))</f>
        <v>64</v>
      </c>
      <c r="G40" s="58">
        <v>2</v>
      </c>
      <c r="H40" s="199" t="str">
        <f>IF(_xlfn.XLOOKUP(A40,OptionsTable[Name],OptionsTable[Notes],,,)="","",_xlfn.XLOOKUP(A40,OptionsTable[Name],OptionsTable[Notes],,,))</f>
        <v>x24 maintenance</v>
      </c>
      <c r="I40" s="200"/>
      <c r="J40" s="200"/>
      <c r="K40" s="44">
        <f>_xlfn.XLOOKUP(A40,OptionsTable[Name],OptionsTable[TL],,,)</f>
        <v>8</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6400000</v>
      </c>
      <c r="R40" s="191"/>
      <c r="S40" s="192"/>
      <c r="T40" s="192"/>
      <c r="U40" s="192"/>
      <c r="V40" s="192"/>
      <c r="W40" s="192"/>
      <c r="X40" s="192"/>
      <c r="Y40" s="192"/>
      <c r="Z40" s="193"/>
    </row>
    <row r="41" spans="1:26" ht="12" customHeight="1" x14ac:dyDescent="0.35">
      <c r="A41" s="197" t="s">
        <v>190</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-10</v>
      </c>
      <c r="F41" s="38">
        <f>IF(_xlfn.XLOOKUP(A41,OptionsTable[Name],OptionsTable[xS],,,)=FALSE,1,IF($B$4&gt;0,$E$4,1))</f>
        <v>1</v>
      </c>
      <c r="G41" s="58">
        <v>10</v>
      </c>
      <c r="H41" s="199" t="str">
        <f>IF(_xlfn.XLOOKUP(A41,OptionsTable[Name],OptionsTable[Notes],,,)="","",_xlfn.XLOOKUP(A41,OptionsTable[Name],OptionsTable[Notes],,,))</f>
        <v>2 kg or litres / slot</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1000</v>
      </c>
      <c r="R41" s="191"/>
      <c r="S41" s="192"/>
      <c r="T41" s="192"/>
      <c r="U41" s="192"/>
      <c r="V41" s="192"/>
      <c r="W41" s="192"/>
      <c r="X41" s="192"/>
      <c r="Y41" s="192"/>
      <c r="Z41" s="193"/>
    </row>
    <row r="42" spans="1:26" ht="12" customHeight="1" x14ac:dyDescent="0.35">
      <c r="A42" s="220" t="s">
        <v>471</v>
      </c>
      <c r="B42" s="221"/>
      <c r="C42" s="221"/>
      <c r="D42" s="22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-1</v>
      </c>
      <c r="F42" s="38">
        <f>IF(_xlfn.XLOOKUP(A42,OptionsTable[Name],OptionsTable[xS],,,)=FALSE,1,IF($B$4&gt;0,$E$4,1))</f>
        <v>1</v>
      </c>
      <c r="G42" s="58"/>
      <c r="H42" s="199" t="str">
        <f>IF(_xlfn.XLOOKUP(A42,OptionsTable[Name],OptionsTable[Notes],,,)="","",_xlfn.XLOOKUP(A42,OptionsTable[Name],OptionsTable[Notes],,,))</f>
        <v>2 kg or litres / slot</v>
      </c>
      <c r="I42" s="200"/>
      <c r="J42" s="200"/>
      <c r="K42" s="44">
        <f>_xlfn.XLOOKUP(A42,OptionsTable[Name],OptionsTable[TL],,,)</f>
        <v>6</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50</v>
      </c>
      <c r="R42" s="191"/>
      <c r="S42" s="192"/>
      <c r="T42" s="192"/>
      <c r="U42" s="192"/>
      <c r="V42" s="192"/>
      <c r="W42" s="192"/>
      <c r="X42" s="192"/>
      <c r="Y42" s="192"/>
      <c r="Z42" s="193"/>
    </row>
    <row r="43" spans="1:26" ht="12" customHeight="1" x14ac:dyDescent="0.35">
      <c r="A43" s="220" t="s">
        <v>100</v>
      </c>
      <c r="B43" s="221"/>
      <c r="C43" s="221"/>
      <c r="D43" s="22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64</v>
      </c>
      <c r="G43" s="58"/>
      <c r="H43" s="199" t="str">
        <f>IF(_xlfn.XLOOKUP(A43,OptionsTable[Name],OptionsTable[Notes],,,)="","",_xlfn.XLOOKUP(A43,OptionsTable[Name],OptionsTable[Notes],,,))</f>
        <v>+ Hostile env</v>
      </c>
      <c r="I43" s="200"/>
      <c r="J43" s="200"/>
      <c r="K43" s="44">
        <f>_xlfn.XLOOKUP(A43,OptionsTable[Name],OptionsTable[TL],,,)</f>
        <v>6</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38400</v>
      </c>
      <c r="R43" s="191"/>
      <c r="S43" s="192"/>
      <c r="T43" s="192"/>
      <c r="U43" s="192"/>
      <c r="V43" s="192"/>
      <c r="W43" s="192"/>
      <c r="X43" s="192"/>
      <c r="Y43" s="192"/>
      <c r="Z43" s="193"/>
    </row>
    <row r="44" spans="1:26" ht="12" customHeight="1" x14ac:dyDescent="0.35">
      <c r="A44" s="220"/>
      <c r="B44" s="221"/>
      <c r="C44" s="221"/>
      <c r="D44" s="22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220"/>
      <c r="B45" s="221"/>
      <c r="C45" s="221"/>
      <c r="D45" s="22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220"/>
      <c r="B46" s="221"/>
      <c r="C46" s="221"/>
      <c r="D46" s="22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220"/>
      <c r="B47" s="221"/>
      <c r="C47" s="221"/>
      <c r="D47" s="22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220"/>
      <c r="B48" s="221"/>
      <c r="C48" s="221"/>
      <c r="D48" s="22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220"/>
      <c r="B49" s="221"/>
      <c r="C49" s="221"/>
      <c r="D49" s="22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220"/>
      <c r="B50" s="221"/>
      <c r="C50" s="221"/>
      <c r="D50" s="22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220"/>
      <c r="B51" s="221"/>
      <c r="C51" s="221"/>
      <c r="D51" s="22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220"/>
      <c r="B52" s="221"/>
      <c r="C52" s="221"/>
      <c r="D52" s="22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220"/>
      <c r="B53" s="221"/>
      <c r="C53" s="221"/>
      <c r="D53" s="22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220"/>
      <c r="B54" s="221"/>
      <c r="C54" s="221"/>
      <c r="D54" s="22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220"/>
      <c r="B55" s="221"/>
      <c r="C55" s="221"/>
      <c r="D55" s="22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220"/>
      <c r="B56" s="221"/>
      <c r="C56" s="221"/>
      <c r="D56" s="22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2</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8</v>
      </c>
      <c r="I66" s="15">
        <f>IF(H66&gt;17,4,IF(H66&gt;14,3,IF(H66&gt;11,2,IF(H66&gt;8,1,IF(H66&gt;5,0,IF(H66&gt;2,-1,-2))))))</f>
        <v>0</v>
      </c>
      <c r="K66" s="44"/>
      <c r="L66" s="56">
        <f>L65+F66</f>
        <v>2</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2,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6523850</v>
      </c>
    </row>
    <row r="92" spans="1:16" ht="12" customHeight="1" thickBot="1" x14ac:dyDescent="0.45">
      <c r="B92" s="114"/>
      <c r="D92" s="113"/>
      <c r="E92" s="113"/>
      <c r="O92" s="149" t="str">
        <f>CONCATENATE("Cost With "&amp;X6*100 &amp; "% Discount")</f>
        <v>Cost With 10% Discount</v>
      </c>
      <c r="P92" s="147">
        <f>P2</f>
        <v>5871400</v>
      </c>
    </row>
    <row r="93" spans="1:16" ht="12" customHeight="1" x14ac:dyDescent="0.35">
      <c r="A93" s="7"/>
    </row>
    <row r="94" spans="1:16" ht="12" customHeight="1" x14ac:dyDescent="0.35">
      <c r="B94" s="110"/>
    </row>
    <row r="95" spans="1:16" ht="12" customHeight="1" x14ac:dyDescent="0.4">
      <c r="B95" s="111"/>
    </row>
    <row r="96" spans="1:16" ht="12" customHeight="1" x14ac:dyDescent="0.35">
      <c r="A96" s="110"/>
      <c r="B96" s="112"/>
    </row>
  </sheetData>
  <sortState xmlns:xlrd2="http://schemas.microsoft.com/office/spreadsheetml/2017/richdata2" ref="A36:D43">
    <sortCondition ref="A36:A43"/>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149" priority="7">
      <formula>ABS($J$14-6) &gt; 6</formula>
    </cfRule>
  </conditionalFormatting>
  <conditionalFormatting sqref="E2">
    <cfRule type="expression" dxfId="148" priority="5">
      <formula>$E$2&lt;0</formula>
    </cfRule>
  </conditionalFormatting>
  <conditionalFormatting sqref="E15:E17">
    <cfRule type="expression" dxfId="147" priority="1">
      <formula>AND($B$4=0,E15&lt;0)</formula>
    </cfRule>
  </conditionalFormatting>
  <conditionalFormatting sqref="K5 K30:K34 K59:K61 K64:K67 K73:K90">
    <cfRule type="expression" dxfId="146" priority="6">
      <formula>K5&gt;$O$2</formula>
    </cfRule>
  </conditionalFormatting>
  <conditionalFormatting sqref="K36:K57">
    <cfRule type="expression" dxfId="145" priority="3">
      <formula>K36&gt;$O$2</formula>
    </cfRule>
  </conditionalFormatting>
  <conditionalFormatting sqref="L57">
    <cfRule type="expression" dxfId="144" priority="2">
      <formula>L57&gt;$O$2</formula>
    </cfRule>
  </conditionalFormatting>
  <conditionalFormatting sqref="L67">
    <cfRule type="expression" dxfId="143" priority="4">
      <formula>L67&lt;0</formula>
    </cfRule>
  </conditionalFormatting>
  <dataValidations count="20">
    <dataValidation type="whole" allowBlank="1" showInputMessage="1" showErrorMessage="1" error="Must be a negative number no less than a 50% of the base hits" sqref="B11" xr:uid="{EDDA5F13-C5CE-4CDC-B989-A3A9684F9ADB}">
      <formula1>-J4/2</formula1>
      <formula2>0</formula2>
    </dataValidation>
    <dataValidation type="whole" allowBlank="1" showInputMessage="1" showErrorMessage="1" error="Must be whole number. No more than 50% of slots may be used for Resiliency" sqref="B10" xr:uid="{9A677559-7EE4-4D5F-9454-76CD09FEC5BC}">
      <formula1>0</formula1>
      <formula2>E4/2</formula2>
    </dataValidation>
    <dataValidation type="whole" allowBlank="1" showInputMessage="1" showErrorMessage="1" sqref="E11" xr:uid="{42988597-96CC-44C5-B326-2E5398AF7AFB}">
      <formula1>0</formula1>
      <formula2>J4/2</formula2>
    </dataValidation>
    <dataValidation type="list" allowBlank="1" showInputMessage="1" showErrorMessage="1" error="Maximum = 3" sqref="B9" xr:uid="{F2197489-985E-4576-8EF4-9568B2E4509B}">
      <formula1>"0,1,2,3"</formula1>
    </dataValidation>
    <dataValidation type="list" allowBlank="1" showInputMessage="1" showErrorMessage="1" sqref="B4" xr:uid="{1EFBDEF3-0386-4F5A-AF7D-96165EDA6674}">
      <formula1>"0,1,2,3,4,5,6,7,8"</formula1>
    </dataValidation>
    <dataValidation type="list" allowBlank="1" showInputMessage="1" showErrorMessage="1" sqref="O2" xr:uid="{6869D575-BBBB-4AFB-B6D8-73EEC28410E9}">
      <formula1>"7,8,9,10,11,12,13,14,15,16,17,18"</formula1>
    </dataValidation>
    <dataValidation type="whole" allowBlank="1" showInputMessage="1" showErrorMessage="1" error="Max Manipulator Size = Chassis Size +2_x000a_Min Manipulator Size = 0_x000a_Whole Numbers Only" sqref="B19:B26" xr:uid="{A53A29CC-1FF3-4566-A19A-F2FDFEB9DEF8}">
      <formula1>0</formula1>
      <formula2>$B$4+2</formula2>
    </dataValidation>
    <dataValidation type="list" allowBlank="1" showInputMessage="1" showErrorMessage="1" sqref="B27:B28 B67 B8" xr:uid="{DB25EF3F-F725-48C4-828F-794963E5E10D}">
      <formula1>"TRUE,FALSE"</formula1>
    </dataValidation>
    <dataValidation type="list" allowBlank="1" showInputMessage="1" showErrorMessage="1" sqref="B13" xr:uid="{67B0FE69-5A7C-4C69-9B95-4B21294AA1D5}">
      <formula1>"0,1,2,3,4"</formula1>
    </dataValidation>
    <dataValidation type="list" allowBlank="1" showInputMessage="1" showErrorMessage="1" sqref="D73:D90 B66" xr:uid="{2C4C0C1B-3ECD-4A42-9140-3D245B73A989}">
      <formula1>"0,1,2,3"</formula1>
    </dataValidation>
    <dataValidation type="list" allowBlank="1" showInputMessage="1" showErrorMessage="1" sqref="B15" xr:uid="{87F0383E-7A37-48C1-BBC0-245ADCFFC61A}">
      <formula1>"FALSE,TRUE"</formula1>
    </dataValidation>
    <dataValidation type="list" allowBlank="1" showInputMessage="1" showErrorMessage="1" sqref="B16" xr:uid="{13F49783-DFFC-4A8F-A9BC-3960A4C72C41}">
      <formula1>"No,1X,2X,3X"</formula1>
    </dataValidation>
    <dataValidation type="whole" allowBlank="1" showInputMessage="1" showErrorMessage="1" error="Must be whole number between -6 and +12" sqref="B14" xr:uid="{9B036894-DCEB-4034-B1F4-3E33A6F246EB}">
      <formula1>-6</formula1>
      <formula2>12</formula2>
    </dataValidation>
    <dataValidation type="whole" allowBlank="1" showInputMessage="1" showErrorMessage="1" sqref="C11:D11" xr:uid="{937BC7BF-C27D-4A29-A07C-0771F323C43A}">
      <formula1>0</formula1>
      <formula2>D4/2</formula2>
    </dataValidation>
    <dataValidation type="whole" allowBlank="1" showInputMessage="1" showErrorMessage="1" sqref="C13:D13" xr:uid="{8C23C705-E894-4C47-A46B-9AC63E6E2C9E}">
      <formula1>0</formula1>
      <formula2>D5/2</formula2>
    </dataValidation>
    <dataValidation type="whole" allowBlank="1" showInputMessage="1" showErrorMessage="1" sqref="C14:D14" xr:uid="{DB79E3EA-2168-4C5A-ADD8-6B4EB5D6019B}">
      <formula1>0</formula1>
      <formula2>D15/2</formula2>
    </dataValidation>
    <dataValidation type="whole" allowBlank="1" showInputMessage="1" showErrorMessage="1" sqref="E13:E14" xr:uid="{A1EEA658-A3BD-40A1-BA8E-9DF591B03F19}">
      <formula1>0</formula1>
      <formula2>#REF!/2</formula2>
    </dataValidation>
    <dataValidation type="whole" allowBlank="1" showInputMessage="1" showErrorMessage="1" error="Max STR = Lesser of Size + TL or SIZE X 4" sqref="G19:G28" xr:uid="{191E8A6F-8A50-4C14-A734-98BE33E7A8A5}">
      <formula1>0</formula1>
      <formula2>F19-C19</formula2>
    </dataValidation>
    <dataValidation type="whole" allowBlank="1" showInputMessage="1" showErrorMessage="1" error="Max DEX = TL+3" sqref="K19:K28" xr:uid="{85C4AFE7-D161-4D86-8766-26080197427B}">
      <formula1>0</formula1>
      <formula2>J19-D19</formula2>
    </dataValidation>
    <dataValidation type="whole" allowBlank="1" showInputMessage="1" showErrorMessage="1" error="Total Armour cannot exceed Maximum" sqref="B7" xr:uid="{3EC91883-7A24-4C8E-987E-B44E5C5122AC}">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E3CD92B5-221C-4FB7-9A0C-97EDB9B05649}">
          <x14:formula1>
            <xm:f>Options!$C$9:$C$256</xm:f>
          </x14:formula1>
          <xm:sqref>A36:A56</xm:sqref>
        </x14:dataValidation>
        <x14:dataValidation type="list" allowBlank="1" showInputMessage="1" showErrorMessage="1" xr:uid="{89121136-8513-41BB-9735-307C943CEE8B}">
          <x14:formula1>
            <xm:f>Options!$C$9:$C$71</xm:f>
          </x14:formula1>
          <xm:sqref>A30:A34</xm:sqref>
        </x14:dataValidation>
        <x14:dataValidation type="list" allowBlank="1" showInputMessage="1" showErrorMessage="1" xr:uid="{9C27A665-4EB1-4B30-8DDB-FE91241DD427}">
          <x14:formula1>
            <xm:f>Chassis!$H$3:$H$13</xm:f>
          </x14:formula1>
          <xm:sqref>B17 B5</xm:sqref>
        </x14:dataValidation>
        <x14:dataValidation type="list" allowBlank="1" showInputMessage="1" showErrorMessage="1" xr:uid="{8AAE41B2-669D-444E-B8A6-55598DD6E3DA}">
          <x14:formula1>
            <xm:f>Packages!$B$11:$B$19</xm:f>
          </x14:formula1>
          <xm:sqref>B70</xm:sqref>
        </x14:dataValidation>
        <x14:dataValidation type="list" allowBlank="1" showInputMessage="1" showErrorMessage="1" xr:uid="{3CD912CD-5380-48F1-9AD6-C9A725732265}">
          <x14:formula1>
            <xm:f>Brains!$B$3:$B$19</xm:f>
          </x14:formula1>
          <xm:sqref>B64</xm:sqref>
        </x14:dataValidation>
        <x14:dataValidation type="list" allowBlank="1" showInputMessage="1" showErrorMessage="1" xr:uid="{F628C84D-5691-4133-91CE-E9548EC94372}">
          <x14:formula1>
            <xm:f>Packages!$B$3:$B$7</xm:f>
          </x14:formula1>
          <xm:sqref>B69</xm:sqref>
        </x14:dataValidation>
        <x14:dataValidation type="list" allowBlank="1" showInputMessage="1" showErrorMessage="1" xr:uid="{7241FC41-F7D3-4D73-8379-5C23B2297826}">
          <x14:formula1>
            <xm:f>Packages!$B$23:$B$25</xm:f>
          </x14:formula1>
          <xm:sqref>B71</xm:sqref>
        </x14:dataValidation>
        <x14:dataValidation type="list" allowBlank="1" showInputMessage="1" showErrorMessage="1" xr:uid="{96F8EFE6-CD21-482C-B736-B1FBE6EB9D15}">
          <x14:formula1>
            <xm:f>Brains!$K$3:$K$16</xm:f>
          </x14:formula1>
          <xm:sqref>B65</xm:sqref>
        </x14:dataValidation>
        <x14:dataValidation type="list" allowBlank="1" showInputMessage="1" showErrorMessage="1" xr:uid="{E706CFF8-729C-4E36-A5F4-5017D5FF1A8F}">
          <x14:formula1>
            <xm:f>Packages!$B$29:$B$82</xm:f>
          </x14:formula1>
          <xm:sqref>A73:A90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3BD75-45F7-4FBF-9278-F4B7EECBD7B9}">
  <sheetPr>
    <tabColor rgb="FF92D050"/>
  </sheetPr>
  <dimension ref="A1:Z92"/>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872</v>
      </c>
      <c r="C2" s="204"/>
      <c r="D2" s="205"/>
      <c r="E2" s="36">
        <f>SUM(E5:E90)+E4</f>
        <v>0</v>
      </c>
      <c r="F2" s="206" t="s">
        <v>184</v>
      </c>
      <c r="G2" s="207"/>
      <c r="H2" s="208"/>
      <c r="I2" s="203" t="s">
        <v>776</v>
      </c>
      <c r="J2" s="204"/>
      <c r="K2" s="204"/>
      <c r="L2" s="204"/>
      <c r="M2" s="204"/>
      <c r="N2" s="79" t="s">
        <v>315</v>
      </c>
      <c r="O2" s="37">
        <v>14</v>
      </c>
      <c r="P2" s="151">
        <f>Z6</f>
        <v>128200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21</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Enhanced AutoBerth (Long Duration)</v>
      </c>
      <c r="S6" s="144">
        <f>M11</f>
        <v>50</v>
      </c>
      <c r="T6" s="144" t="str">
        <f>B5</f>
        <v>None</v>
      </c>
      <c r="U6" s="144" t="str">
        <f>_xlfn.CONCAT(J14," m")</f>
        <v>0 m</v>
      </c>
      <c r="V6" s="145">
        <f>O2</f>
        <v>14</v>
      </c>
      <c r="W6" s="148">
        <f>P91</f>
        <v>142450</v>
      </c>
      <c r="X6" s="152">
        <f>IF(I2="Standard Design",0.1,0)</f>
        <v>0.1</v>
      </c>
      <c r="Y6" s="153">
        <v>2</v>
      </c>
      <c r="Z6" s="148">
        <f>FLOOR(P91*(1-X6),100)</f>
        <v>128200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Athletics (endurance) 3, Medic 3,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-21</v>
      </c>
      <c r="F9" s="38"/>
      <c r="G9" s="178" t="s">
        <v>302</v>
      </c>
      <c r="H9" s="178"/>
      <c r="I9" s="179"/>
      <c r="J9" s="52">
        <f>J8*(1+B9)</f>
        <v>2592</v>
      </c>
      <c r="K9" s="177" t="s">
        <v>64</v>
      </c>
      <c r="L9" s="178"/>
      <c r="M9" s="179"/>
      <c r="O9" s="5" t="str">
        <f>IF(B9&gt;0,_xlfn.CONCAT("Athletics (endurance) ",B9,", "),"")</f>
        <v xml:space="preserve">Athletics (endurance) 3, </v>
      </c>
      <c r="P9" s="137">
        <f>-500*E9</f>
        <v>10500</v>
      </c>
      <c r="R9" s="116" t="s">
        <v>49</v>
      </c>
      <c r="S9" s="162" t="str">
        <f>IF(COUNT(B19:B26)=0,"none",_xlfn.CONCAT(COUNT(B19:B26), " X (STR ",H19," DEX ",L19,")"))</f>
        <v>1 X (STR 5 DEX 8)</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2592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(+4),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Storage Compartment (standard), Vacuum Environment Protection,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2592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8</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17</v>
      </c>
      <c r="K19" s="16">
        <v>0</v>
      </c>
      <c r="L19" s="61">
        <f t="shared" ref="L19:L28" si="5">D19+K19</f>
        <v>8</v>
      </c>
      <c r="M19" s="62">
        <f t="shared" ref="M19:M28" si="6">IF(L19&gt;17,4,IF(L19&gt;14,3,IF(L19&gt;11,2,IF(L19&gt;8,1,IF(L19&gt;5,0,IF(L19&gt;2,-1,-2))))))</f>
        <v>0</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17</v>
      </c>
      <c r="K20" s="16"/>
      <c r="L20" s="6">
        <f t="shared" si="5"/>
        <v>0</v>
      </c>
      <c r="M20" s="21">
        <f t="shared" si="6"/>
        <v>-2</v>
      </c>
      <c r="O20" s="5" t="str">
        <f t="shared" si="7"/>
        <v/>
      </c>
      <c r="P20" s="137">
        <f>IF((B20-$B$4)*100&gt;-0.2*$P$5,(B20-$B$4)*100,-0.2*$P$5)+B20*100*(G20)^2+B20*200*(K20)^2</f>
        <v>-700</v>
      </c>
      <c r="R20" s="232" t="s">
        <v>884</v>
      </c>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17</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17</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17</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17</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17</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17</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17</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17</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471</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-9</v>
      </c>
      <c r="F41" s="38">
        <f>IF(_xlfn.XLOOKUP(A41,OptionsTable[Name],OptionsTable[xS],,,)=FALSE,1,IF($B$4&gt;0,$E$4,1))</f>
        <v>1</v>
      </c>
      <c r="G41" s="58">
        <v>9</v>
      </c>
      <c r="H41" s="199" t="str">
        <f>IF(_xlfn.XLOOKUP(A41,OptionsTable[Name],OptionsTable[Notes],,,)="","",_xlfn.XLOOKUP(A41,OptionsTable[Name],OptionsTable[Notes],,,))</f>
        <v>2 kg or litres / slot</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450</v>
      </c>
      <c r="R41" s="191"/>
      <c r="S41" s="192"/>
      <c r="T41" s="192"/>
      <c r="U41" s="192"/>
      <c r="V41" s="192"/>
      <c r="W41" s="192"/>
      <c r="X41" s="192"/>
      <c r="Y41" s="192"/>
      <c r="Z41" s="193"/>
    </row>
    <row r="42" spans="1:26" ht="12" customHeight="1" x14ac:dyDescent="0.35">
      <c r="A42" s="197" t="s">
        <v>100</v>
      </c>
      <c r="B42" s="198"/>
      <c r="C42" s="198"/>
      <c r="D42" s="24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64</v>
      </c>
      <c r="G42" s="58"/>
      <c r="H42" s="199" t="str">
        <f>IF(_xlfn.XLOOKUP(A42,OptionsTable[Name],OptionsTable[Notes],,,)="","",_xlfn.XLOOKUP(A42,OptionsTable[Name],OptionsTable[Notes],,,))</f>
        <v>+ Hostile env</v>
      </c>
      <c r="I42" s="200"/>
      <c r="J42" s="200"/>
      <c r="K42" s="44">
        <f>_xlfn.XLOOKUP(A42,OptionsTable[Name],OptionsTable[TL],,,)</f>
        <v>6</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38400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156</v>
      </c>
      <c r="C65" s="198"/>
      <c r="D65" s="198"/>
      <c r="E65" s="40">
        <f>-_xlfn.XLOOKUP(B65,Bandwidth[Minimum Base Brain],Bandwidth[Slots],,,)</f>
        <v>-1</v>
      </c>
      <c r="F65" s="38"/>
      <c r="K65" s="44">
        <f>_xlfn.XLOOKUP(B65,Bandwidth[Minimum Base Brain],Bandwidth[TL],,,)</f>
        <v>10</v>
      </c>
      <c r="L65">
        <f>_xlfn.XLOOKUP(B65,Bandwidth[Minimum Base Brain],Bandwidth[Bandwidth],,,)+L64</f>
        <v>4</v>
      </c>
      <c r="M65" t="s">
        <v>310</v>
      </c>
      <c r="P65" s="137">
        <f>_xlfn.XLOOKUP(B65,Bandwidth[Minimum Base Brain],Bandwidth[Cost],,,)</f>
        <v>5000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9</v>
      </c>
      <c r="I66" s="15">
        <f>IF(H66&gt;17,4,IF(H66&gt;14,3,IF(H66&gt;11,2,IF(H66&gt;8,1,IF(H66&gt;5,0,IF(H66&gt;2,-1,-2))))))</f>
        <v>1</v>
      </c>
      <c r="K66" s="44"/>
      <c r="L66" s="56">
        <f>L65+F66</f>
        <v>3</v>
      </c>
      <c r="M66" t="s">
        <v>310</v>
      </c>
      <c r="P66" s="137" cm="1">
        <f t="array" ref="P66">_xlfn.IFS(B66=0,0,B66=1,(H64+1)*1000,B66=2,(H64+1)*(H64+2)*1000,B66=3,(H64+1)*(H64+2)*(H64+3)*1000)*IF(H66&gt;11,2,1)</f>
        <v>9000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3,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142450</v>
      </c>
    </row>
    <row r="92" spans="1:16" ht="12" customHeight="1" thickBot="1" x14ac:dyDescent="0.45">
      <c r="O92" s="149" t="str">
        <f>CONCATENATE("Cost With "&amp;X6*100 &amp; "% Discount")</f>
        <v>Cost With 10% Discount</v>
      </c>
      <c r="P92" s="147">
        <f>P2</f>
        <v>128200</v>
      </c>
    </row>
  </sheetData>
  <sortState xmlns:xlrd2="http://schemas.microsoft.com/office/spreadsheetml/2017/richdata2" ref="A36:D43">
    <sortCondition ref="A36:A43"/>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142" priority="7">
      <formula>ABS($J$14-6) &gt; 6</formula>
    </cfRule>
  </conditionalFormatting>
  <conditionalFormatting sqref="E2">
    <cfRule type="expression" dxfId="141" priority="5">
      <formula>$E$2&lt;0</formula>
    </cfRule>
  </conditionalFormatting>
  <conditionalFormatting sqref="E15:E17">
    <cfRule type="expression" dxfId="140" priority="1">
      <formula>AND($B$4=0,E15&lt;0)</formula>
    </cfRule>
  </conditionalFormatting>
  <conditionalFormatting sqref="K5 K30:K34 K59:K61 K64:K67 K73:K90">
    <cfRule type="expression" dxfId="139" priority="6">
      <formula>K5&gt;$O$2</formula>
    </cfRule>
  </conditionalFormatting>
  <conditionalFormatting sqref="K36:K57">
    <cfRule type="expression" dxfId="138" priority="3">
      <formula>K36&gt;$O$2</formula>
    </cfRule>
  </conditionalFormatting>
  <conditionalFormatting sqref="L57">
    <cfRule type="expression" dxfId="137" priority="2">
      <formula>L57&gt;$O$2</formula>
    </cfRule>
  </conditionalFormatting>
  <conditionalFormatting sqref="L67">
    <cfRule type="expression" dxfId="136" priority="4">
      <formula>L67&lt;0</formula>
    </cfRule>
  </conditionalFormatting>
  <dataValidations count="20">
    <dataValidation type="whole" allowBlank="1" showInputMessage="1" showErrorMessage="1" error="Total Armour cannot exceed Maximum" sqref="B7" xr:uid="{571FAD45-EE96-432D-B0B3-CE782EAF219E}">
      <formula1>-1</formula1>
      <formula2>L7-MID(A7,18,1)</formula2>
    </dataValidation>
    <dataValidation type="whole" allowBlank="1" showInputMessage="1" showErrorMessage="1" error="Max DEX = TL+3" sqref="K19:K28" xr:uid="{F6AE5328-D7BA-42AB-B0E3-6613CA3F1994}">
      <formula1>0</formula1>
      <formula2>J19-D19</formula2>
    </dataValidation>
    <dataValidation type="whole" allowBlank="1" showInputMessage="1" showErrorMessage="1" error="Max STR = Lesser of Size + TL or SIZE X 4" sqref="G19:G28" xr:uid="{C9875912-454E-4C4D-B601-E15AF32B391E}">
      <formula1>0</formula1>
      <formula2>F19-C19</formula2>
    </dataValidation>
    <dataValidation type="whole" allowBlank="1" showInputMessage="1" showErrorMessage="1" sqref="E13:E14" xr:uid="{3BE535D5-458C-421E-BEC2-248E713D7A86}">
      <formula1>0</formula1>
      <formula2>#REF!/2</formula2>
    </dataValidation>
    <dataValidation type="whole" allowBlank="1" showInputMessage="1" showErrorMessage="1" sqref="C14:D14" xr:uid="{AD990BED-435D-4335-A6F5-36CE0C607FAC}">
      <formula1>0</formula1>
      <formula2>D15/2</formula2>
    </dataValidation>
    <dataValidation type="whole" allowBlank="1" showInputMessage="1" showErrorMessage="1" sqref="C13:D13" xr:uid="{DAE4EFD9-D3DE-4C4F-A0B9-21D038F23A89}">
      <formula1>0</formula1>
      <formula2>D5/2</formula2>
    </dataValidation>
    <dataValidation type="whole" allowBlank="1" showInputMessage="1" showErrorMessage="1" sqref="C11:D11" xr:uid="{9ED6FD25-2AA2-42C8-A74A-977465465869}">
      <formula1>0</formula1>
      <formula2>D4/2</formula2>
    </dataValidation>
    <dataValidation type="whole" allowBlank="1" showInputMessage="1" showErrorMessage="1" error="Must be whole number between -6 and +12" sqref="B14" xr:uid="{80B28A82-CEAC-44F6-BD53-9557631DE89D}">
      <formula1>-6</formula1>
      <formula2>12</formula2>
    </dataValidation>
    <dataValidation type="list" allowBlank="1" showInputMessage="1" showErrorMessage="1" sqref="B16" xr:uid="{BCA56537-4005-4842-9841-3C1AA62A7A84}">
      <formula1>"No,1X,2X,3X"</formula1>
    </dataValidation>
    <dataValidation type="list" allowBlank="1" showInputMessage="1" showErrorMessage="1" sqref="B15" xr:uid="{575421EF-A1C5-4383-AA49-D6396B416E5D}">
      <formula1>"FALSE,TRUE"</formula1>
    </dataValidation>
    <dataValidation type="list" allowBlank="1" showInputMessage="1" showErrorMessage="1" sqref="D73:D90 B66" xr:uid="{CA199041-C4E0-4146-B9E3-5211DD0952CD}">
      <formula1>"0,1,2,3"</formula1>
    </dataValidation>
    <dataValidation type="list" allowBlank="1" showInputMessage="1" showErrorMessage="1" sqref="B13" xr:uid="{E42D1C8D-26A0-4149-A95C-05318BE9A656}">
      <formula1>"0,1,2,3,4"</formula1>
    </dataValidation>
    <dataValidation type="list" allowBlank="1" showInputMessage="1" showErrorMessage="1" sqref="B27:B28 B67 B8" xr:uid="{0E1B6183-F555-4850-BEAF-9B11F1817DBF}">
      <formula1>"TRUE,FALSE"</formula1>
    </dataValidation>
    <dataValidation type="whole" allowBlank="1" showInputMessage="1" showErrorMessage="1" error="Max Manipulator Size = Chassis Size +2_x000a_Min Manipulator Size = 0_x000a_Whole Numbers Only" sqref="B19:B26" xr:uid="{78F9929D-8732-4A3C-96AF-20F143538095}">
      <formula1>0</formula1>
      <formula2>$B$4+2</formula2>
    </dataValidation>
    <dataValidation type="list" allowBlank="1" showInputMessage="1" showErrorMessage="1" sqref="O2" xr:uid="{6DE7DDAB-DC09-41DD-9ED8-1BBA9DC18B7E}">
      <formula1>"7,8,9,10,11,12,13,14,15,16,17,18"</formula1>
    </dataValidation>
    <dataValidation type="list" allowBlank="1" showInputMessage="1" showErrorMessage="1" sqref="B4" xr:uid="{9711396D-99A1-4B0F-9665-C6B3FA8CE900}">
      <formula1>"0,1,2,3,4,5,6,7,8"</formula1>
    </dataValidation>
    <dataValidation type="list" allowBlank="1" showInputMessage="1" showErrorMessage="1" error="Maximum = 3" sqref="B9" xr:uid="{C2FE0FA7-D347-42FF-8886-3033F587AAC5}">
      <formula1>"0,1,2,3"</formula1>
    </dataValidation>
    <dataValidation type="whole" allowBlank="1" showInputMessage="1" showErrorMessage="1" sqref="E11" xr:uid="{D2AFE360-9633-4F24-A35D-9EF6D0385F69}">
      <formula1>0</formula1>
      <formula2>J4/2</formula2>
    </dataValidation>
    <dataValidation type="whole" allowBlank="1" showInputMessage="1" showErrorMessage="1" error="Must be whole number. No more than 50% of slots may be used for Resiliency" sqref="B10" xr:uid="{FA1A0776-7F56-4DD5-89BB-86C9DAA2D4EA}">
      <formula1>0</formula1>
      <formula2>E4/2</formula2>
    </dataValidation>
    <dataValidation type="whole" allowBlank="1" showInputMessage="1" showErrorMessage="1" error="Must be a negative number no less than a 50% of the base hits" sqref="B11" xr:uid="{868AA439-0BB4-4F1B-BFFA-758F0A3B49BE}">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92657B22-12FA-4C3E-B018-51C234416736}">
          <x14:formula1>
            <xm:f>Options!$C$9:$C$256</xm:f>
          </x14:formula1>
          <xm:sqref>A36:A56</xm:sqref>
        </x14:dataValidation>
        <x14:dataValidation type="list" allowBlank="1" showInputMessage="1" showErrorMessage="1" xr:uid="{878B330F-9DFC-4FC8-9C94-8947B24A59C8}">
          <x14:formula1>
            <xm:f>Options!$C$9:$C$71</xm:f>
          </x14:formula1>
          <xm:sqref>A30:A34</xm:sqref>
        </x14:dataValidation>
        <x14:dataValidation type="list" allowBlank="1" showInputMessage="1" showErrorMessage="1" xr:uid="{61BF04B7-57F9-43FE-BF0A-0CD75B3AB379}">
          <x14:formula1>
            <xm:f>Packages!$B$29:$B$82</xm:f>
          </x14:formula1>
          <xm:sqref>A73:A90</xm:sqref>
        </x14:dataValidation>
        <x14:dataValidation type="list" allowBlank="1" showInputMessage="1" showErrorMessage="1" xr:uid="{37425367-97C5-411A-BFE6-C168338E74C1}">
          <x14:formula1>
            <xm:f>Brains!$K$3:$K$16</xm:f>
          </x14:formula1>
          <xm:sqref>B65</xm:sqref>
        </x14:dataValidation>
        <x14:dataValidation type="list" allowBlank="1" showInputMessage="1" showErrorMessage="1" xr:uid="{8DC82F7B-543A-4D00-818B-5B7E90FE3937}">
          <x14:formula1>
            <xm:f>Packages!$B$23:$B$25</xm:f>
          </x14:formula1>
          <xm:sqref>B71</xm:sqref>
        </x14:dataValidation>
        <x14:dataValidation type="list" allowBlank="1" showInputMessage="1" showErrorMessage="1" xr:uid="{2DB9F14A-C80C-4EBE-BA40-5BEA072B2B15}">
          <x14:formula1>
            <xm:f>Packages!$B$3:$B$7</xm:f>
          </x14:formula1>
          <xm:sqref>B69</xm:sqref>
        </x14:dataValidation>
        <x14:dataValidation type="list" allowBlank="1" showInputMessage="1" showErrorMessage="1" xr:uid="{1C00C458-08B1-493E-B43D-B3BDC7EC7470}">
          <x14:formula1>
            <xm:f>Brains!$B$3:$B$19</xm:f>
          </x14:formula1>
          <xm:sqref>B64</xm:sqref>
        </x14:dataValidation>
        <x14:dataValidation type="list" allowBlank="1" showInputMessage="1" showErrorMessage="1" xr:uid="{1FC56845-CF6B-4F57-951F-0D674ED7A48B}">
          <x14:formula1>
            <xm:f>Packages!$B$11:$B$19</xm:f>
          </x14:formula1>
          <xm:sqref>B70</xm:sqref>
        </x14:dataValidation>
        <x14:dataValidation type="list" allowBlank="1" showInputMessage="1" showErrorMessage="1" xr:uid="{E7791E8C-CB02-481C-98E9-16AA9F529745}">
          <x14:formula1>
            <xm:f>Chassis!$H$3:$H$13</xm:f>
          </x14:formula1>
          <xm:sqref>B17 B5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53AE-E520-4847-85E7-F8BF3EE916DE}">
  <sheetPr>
    <tabColor rgb="FF92D050"/>
  </sheetPr>
  <dimension ref="A1:Z93"/>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873</v>
      </c>
      <c r="C2" s="204"/>
      <c r="D2" s="205"/>
      <c r="E2" s="36">
        <f>SUM(E5:E90)+E4</f>
        <v>0</v>
      </c>
      <c r="F2" s="206" t="s">
        <v>184</v>
      </c>
      <c r="G2" s="207"/>
      <c r="H2" s="208"/>
      <c r="I2" s="203" t="s">
        <v>776</v>
      </c>
      <c r="J2" s="204"/>
      <c r="K2" s="204"/>
      <c r="L2" s="204"/>
      <c r="M2" s="204"/>
      <c r="N2" s="79" t="s">
        <v>315</v>
      </c>
      <c r="O2" s="37">
        <v>15</v>
      </c>
      <c r="P2" s="151">
        <f>Z6</f>
        <v>324900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22</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Advanced AutoBerth (Long Duration)</v>
      </c>
      <c r="S6" s="144">
        <f>M11</f>
        <v>50</v>
      </c>
      <c r="T6" s="144" t="str">
        <f>B5</f>
        <v>None</v>
      </c>
      <c r="U6" s="144" t="str">
        <f>_xlfn.CONCAT(J14," m")</f>
        <v>0 m</v>
      </c>
      <c r="V6" s="145">
        <f>O2</f>
        <v>15</v>
      </c>
      <c r="W6" s="150">
        <f>P91</f>
        <v>361000</v>
      </c>
      <c r="X6" s="152">
        <f>IF(I2="Standard Design",0.1,0)</f>
        <v>0.1</v>
      </c>
      <c r="Y6" s="153">
        <v>2</v>
      </c>
      <c r="Z6" s="148">
        <f>FLOOR(P91*(1-X6),100)</f>
        <v>324900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Athletics (endurance) 3, Medic 4,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-21</v>
      </c>
      <c r="F9" s="38"/>
      <c r="G9" s="178" t="s">
        <v>302</v>
      </c>
      <c r="H9" s="178"/>
      <c r="I9" s="179"/>
      <c r="J9" s="52">
        <f>J8*(1+B9)</f>
        <v>3456</v>
      </c>
      <c r="K9" s="177" t="s">
        <v>64</v>
      </c>
      <c r="L9" s="178"/>
      <c r="M9" s="179"/>
      <c r="O9" s="5" t="str">
        <f>IF(B9&gt;0,_xlfn.CONCAT("Athletics (endurance) ",B9,", "),"")</f>
        <v xml:space="preserve">Athletics (endurance) 3, </v>
      </c>
      <c r="P9" s="137">
        <f>-500*E9</f>
        <v>10500</v>
      </c>
      <c r="R9" s="116" t="s">
        <v>49</v>
      </c>
      <c r="S9" s="162" t="str">
        <f>IF(COUNT(B19:B26)=0,"none",_xlfn.CONCAT(COUNT(B19:B26), " X (STR ",H19," DEX ",L19,")"))</f>
        <v>1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3456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(+4),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Storage Compartment (standard), Vacuum Environment Protection,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3456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18</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18</v>
      </c>
      <c r="K20" s="16"/>
      <c r="L20" s="6">
        <f t="shared" si="5"/>
        <v>0</v>
      </c>
      <c r="M20" s="21">
        <f t="shared" si="6"/>
        <v>-2</v>
      </c>
      <c r="O20" s="5" t="str">
        <f t="shared" si="7"/>
        <v/>
      </c>
      <c r="P20" s="137">
        <f>IF((B20-$B$4)*100&gt;-0.2*$P$5,(B20-$B$4)*100,-0.2*$P$5)+B20*100*(G20)^2+B20*200*(K20)^2</f>
        <v>-700</v>
      </c>
      <c r="R20" s="232" t="s">
        <v>880</v>
      </c>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18</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18</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18</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18</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18</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18</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18</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18</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241"/>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241"/>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42"/>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471</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-10</v>
      </c>
      <c r="F41" s="38">
        <f>IF(_xlfn.XLOOKUP(A41,OptionsTable[Name],OptionsTable[xS],,,)=FALSE,1,IF($B$4&gt;0,$E$4,1))</f>
        <v>1</v>
      </c>
      <c r="G41" s="58">
        <v>10</v>
      </c>
      <c r="H41" s="199" t="str">
        <f>IF(_xlfn.XLOOKUP(A41,OptionsTable[Name],OptionsTable[Notes],,,)="","",_xlfn.XLOOKUP(A41,OptionsTable[Name],OptionsTable[Notes],,,))</f>
        <v>2 kg or litres / slot</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500</v>
      </c>
      <c r="R41" s="191"/>
      <c r="S41" s="192"/>
      <c r="T41" s="192"/>
      <c r="U41" s="192"/>
      <c r="V41" s="192"/>
      <c r="W41" s="192"/>
      <c r="X41" s="192"/>
      <c r="Y41" s="192"/>
      <c r="Z41" s="193"/>
    </row>
    <row r="42" spans="1:26" ht="12" customHeight="1" x14ac:dyDescent="0.35">
      <c r="A42" s="197" t="s">
        <v>100</v>
      </c>
      <c r="B42" s="198"/>
      <c r="C42" s="198"/>
      <c r="D42" s="24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64</v>
      </c>
      <c r="G42" s="58"/>
      <c r="H42" s="199" t="str">
        <f>IF(_xlfn.XLOOKUP(A42,OptionsTable[Name],OptionsTable[Notes],,,)="","",_xlfn.XLOOKUP(A42,OptionsTable[Name],OptionsTable[Notes],,,))</f>
        <v>+ Hostile env</v>
      </c>
      <c r="I42" s="200"/>
      <c r="J42" s="200"/>
      <c r="K42" s="44">
        <f>_xlfn.XLOOKUP(A42,OptionsTable[Name],OptionsTable[TL],,,)</f>
        <v>6</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38400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81</v>
      </c>
      <c r="C64" s="227"/>
      <c r="D64" s="227"/>
      <c r="E64" s="40">
        <f>IF(L64+K64-O2&gt;B4,-1,0)</f>
        <v>0</v>
      </c>
      <c r="F64" s="38"/>
      <c r="H64" s="1">
        <f>_xlfn.XLOOKUP(B64,Brains[Programming/Control],Brains[Base INT],,,)</f>
        <v>9</v>
      </c>
      <c r="I64" s="31">
        <f>IF(H64&gt;17,4,IF(H64&gt;14,3,IF(H64&gt;11,2,IF(H64&gt;8,1,IF(H64&gt;5,0,IF(H64&gt;2,-1,-2))))))</f>
        <v>1</v>
      </c>
      <c r="J64" s="1">
        <f>_xlfn.XLOOKUP(B64,Brains[Programming/Control],Brains[Computer/X],,,)</f>
        <v>3</v>
      </c>
      <c r="K64" s="44">
        <f>_xlfn.XLOOKUP(B64,Brains[Programming/Control],Brains[TL],,,)</f>
        <v>12</v>
      </c>
      <c r="L64">
        <f>_xlfn.XLOOKUP(B64,Brains[Programming/Control],Brains[Computer/X],,,)</f>
        <v>3</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62500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3</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9</v>
      </c>
      <c r="I66" s="15">
        <f>IF(H66&gt;17,4,IF(H66&gt;14,3,IF(H66&gt;11,2,IF(H66&gt;8,1,IF(H66&gt;5,0,IF(H66&gt;2,-1,-2))))))</f>
        <v>1</v>
      </c>
      <c r="K66" s="44"/>
      <c r="L66" s="56">
        <f>L65+F66</f>
        <v>3</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3</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4,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361000</v>
      </c>
    </row>
    <row r="92" spans="1:16" ht="12" customHeight="1" thickBot="1" x14ac:dyDescent="0.45">
      <c r="B92" s="111"/>
      <c r="O92" s="149" t="str">
        <f>CONCATENATE("Cost With "&amp;X6*100 &amp; "% Discount")</f>
        <v>Cost With 10% Discount</v>
      </c>
      <c r="P92" s="147">
        <f>P2</f>
        <v>324900</v>
      </c>
    </row>
    <row r="93" spans="1:16" ht="12" customHeight="1" x14ac:dyDescent="0.35">
      <c r="A93" s="110"/>
      <c r="B93" s="112"/>
    </row>
  </sheetData>
  <sortState xmlns:xlrd2="http://schemas.microsoft.com/office/spreadsheetml/2017/richdata2" ref="A36:D43">
    <sortCondition ref="A36:A43"/>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135" priority="6">
      <formula>ABS($J$14-6) &gt; 6</formula>
    </cfRule>
  </conditionalFormatting>
  <conditionalFormatting sqref="E2">
    <cfRule type="expression" dxfId="134" priority="4">
      <formula>$E$2&lt;0</formula>
    </cfRule>
  </conditionalFormatting>
  <conditionalFormatting sqref="E15:E17">
    <cfRule type="expression" dxfId="133" priority="1">
      <formula>AND($B$4=0,E15&lt;0)</formula>
    </cfRule>
  </conditionalFormatting>
  <conditionalFormatting sqref="K5 K30:K34 K36:K57 K59:K61 K64:K67 K73:K90">
    <cfRule type="expression" dxfId="132" priority="5">
      <formula>K5&gt;$O$2</formula>
    </cfRule>
  </conditionalFormatting>
  <conditionalFormatting sqref="L57">
    <cfRule type="expression" dxfId="131" priority="2">
      <formula>L57&gt;$O$2</formula>
    </cfRule>
  </conditionalFormatting>
  <conditionalFormatting sqref="L67">
    <cfRule type="expression" dxfId="130" priority="3">
      <formula>L67&lt;0</formula>
    </cfRule>
  </conditionalFormatting>
  <dataValidations count="20">
    <dataValidation type="whole" allowBlank="1" showInputMessage="1" showErrorMessage="1" error="Total Armour cannot exceed Maximum" sqref="B7" xr:uid="{55A8A7BD-D60A-416C-967F-025E68BC8D0C}">
      <formula1>-1</formula1>
      <formula2>L7-MID(A7,18,1)</formula2>
    </dataValidation>
    <dataValidation type="whole" allowBlank="1" showInputMessage="1" showErrorMessage="1" error="Max DEX = TL+3" sqref="K19:K28" xr:uid="{4AB3D63F-E1E6-4704-BD20-6C7A9037D470}">
      <formula1>0</formula1>
      <formula2>J19-D19</formula2>
    </dataValidation>
    <dataValidation type="whole" allowBlank="1" showInputMessage="1" showErrorMessage="1" error="Max STR = Lesser of Size + TL or SIZE X 4" sqref="G19:G28" xr:uid="{AA73ED19-36A5-4BD0-A758-E693B83781D5}">
      <formula1>0</formula1>
      <formula2>F19-C19</formula2>
    </dataValidation>
    <dataValidation type="whole" allowBlank="1" showInputMessage="1" showErrorMessage="1" sqref="E13:E14" xr:uid="{EBF4DDCD-66B2-4F32-8571-285CA3443BD6}">
      <formula1>0</formula1>
      <formula2>#REF!/2</formula2>
    </dataValidation>
    <dataValidation type="whole" allowBlank="1" showInputMessage="1" showErrorMessage="1" sqref="C14:D14" xr:uid="{D776AC6F-585D-448F-8CBE-10981C7F6B1C}">
      <formula1>0</formula1>
      <formula2>D15/2</formula2>
    </dataValidation>
    <dataValidation type="whole" allowBlank="1" showInputMessage="1" showErrorMessage="1" sqref="C13:D13" xr:uid="{C4A263EF-7FA9-4A84-AD98-917173D4B3E9}">
      <formula1>0</formula1>
      <formula2>D5/2</formula2>
    </dataValidation>
    <dataValidation type="whole" allowBlank="1" showInputMessage="1" showErrorMessage="1" sqref="C11:D11" xr:uid="{0B4E28B3-3898-416F-BF09-696019E326D7}">
      <formula1>0</formula1>
      <formula2>D4/2</formula2>
    </dataValidation>
    <dataValidation type="whole" allowBlank="1" showInputMessage="1" showErrorMessage="1" error="Must be whole number between -6 and +12" sqref="B14" xr:uid="{74FBB9A3-7E65-454D-A566-E99DEC108DFF}">
      <formula1>-6</formula1>
      <formula2>12</formula2>
    </dataValidation>
    <dataValidation type="list" allowBlank="1" showInputMessage="1" showErrorMessage="1" sqref="B16" xr:uid="{34595217-8FB0-45CD-BF3E-45298A83E898}">
      <formula1>"No,1X,2X,3X"</formula1>
    </dataValidation>
    <dataValidation type="list" allowBlank="1" showInputMessage="1" showErrorMessage="1" sqref="B15" xr:uid="{331E1B06-6ADA-4A85-B2FB-5259CA5C7798}">
      <formula1>"FALSE,TRUE"</formula1>
    </dataValidation>
    <dataValidation type="list" allowBlank="1" showInputMessage="1" showErrorMessage="1" sqref="D73:D90 B66" xr:uid="{C6A8738F-0F17-4B9A-BF7A-F87743C482D6}">
      <formula1>"0,1,2,3"</formula1>
    </dataValidation>
    <dataValidation type="list" allowBlank="1" showInputMessage="1" showErrorMessage="1" sqref="B13" xr:uid="{B9B2BE7C-45F9-4A14-9FF8-6AF7B3DD96AD}">
      <formula1>"0,1,2,3,4"</formula1>
    </dataValidation>
    <dataValidation type="list" allowBlank="1" showInputMessage="1" showErrorMessage="1" sqref="B27:B28 B67 B8" xr:uid="{A56FACEF-9437-42B0-B3BC-497D3F8A00F5}">
      <formula1>"TRUE,FALSE"</formula1>
    </dataValidation>
    <dataValidation type="whole" allowBlank="1" showInputMessage="1" showErrorMessage="1" error="Max Manipulator Size = Chassis Size +2_x000a_Min Manipulator Size = 0_x000a_Whole Numbers Only" sqref="B19:B26" xr:uid="{75DEA8A3-BBDA-4695-BE2C-9BF7A4FA0907}">
      <formula1>0</formula1>
      <formula2>$B$4+2</formula2>
    </dataValidation>
    <dataValidation type="list" allowBlank="1" showInputMessage="1" showErrorMessage="1" sqref="O2" xr:uid="{CD9B614A-7CDB-47BF-B255-9603C06F462E}">
      <formula1>"7,8,9,10,11,12,13,14,15,16,17,18"</formula1>
    </dataValidation>
    <dataValidation type="list" allowBlank="1" showInputMessage="1" showErrorMessage="1" sqref="B4" xr:uid="{3E6D9623-6938-42AE-A963-616D86E297CF}">
      <formula1>"0,1,2,3,4,5,6,7,8"</formula1>
    </dataValidation>
    <dataValidation type="list" allowBlank="1" showInputMessage="1" showErrorMessage="1" error="Maximum = 3" sqref="B9" xr:uid="{DC980CED-668B-4950-939E-AF592E34D9A5}">
      <formula1>"0,1,2,3"</formula1>
    </dataValidation>
    <dataValidation type="whole" allowBlank="1" showInputMessage="1" showErrorMessage="1" sqref="E11" xr:uid="{34A4C37A-2D1A-4462-82B8-9147C028AC97}">
      <formula1>0</formula1>
      <formula2>J4/2</formula2>
    </dataValidation>
    <dataValidation type="whole" allowBlank="1" showInputMessage="1" showErrorMessage="1" error="Must be whole number. No more than 50% of slots may be used for Resiliency" sqref="B10" xr:uid="{582014F8-149C-497D-A15C-AEA678A2324D}">
      <formula1>0</formula1>
      <formula2>E4/2</formula2>
    </dataValidation>
    <dataValidation type="whole" allowBlank="1" showInputMessage="1" showErrorMessage="1" error="Must be a negative number no less than a 50% of the base hits" sqref="B11" xr:uid="{6797DC98-48AF-4506-8AC4-F0E77E926729}">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8DA1477-B938-44C9-88B0-7A9E13B7FF74}">
          <x14:formula1>
            <xm:f>Options!$C$9:$C$256</xm:f>
          </x14:formula1>
          <xm:sqref>A36:A56</xm:sqref>
        </x14:dataValidation>
        <x14:dataValidation type="list" allowBlank="1" showInputMessage="1" showErrorMessage="1" xr:uid="{EF40B818-68EA-40FD-A6BC-039F53F989D1}">
          <x14:formula1>
            <xm:f>Options!$C$9:$C$71</xm:f>
          </x14:formula1>
          <xm:sqref>A30:A34</xm:sqref>
        </x14:dataValidation>
        <x14:dataValidation type="list" allowBlank="1" showInputMessage="1" showErrorMessage="1" xr:uid="{B90B6D3C-B07F-4095-B13B-20680A369242}">
          <x14:formula1>
            <xm:f>Brains!$K$3:$K$16</xm:f>
          </x14:formula1>
          <xm:sqref>B65</xm:sqref>
        </x14:dataValidation>
        <x14:dataValidation type="list" allowBlank="1" showInputMessage="1" showErrorMessage="1" xr:uid="{4F4EC7A5-3249-482B-8D7C-4E503709FDE2}">
          <x14:formula1>
            <xm:f>Packages!$B$23:$B$25</xm:f>
          </x14:formula1>
          <xm:sqref>B71</xm:sqref>
        </x14:dataValidation>
        <x14:dataValidation type="list" allowBlank="1" showInputMessage="1" showErrorMessage="1" xr:uid="{69FAAD0F-565F-49C6-8F26-5B97B69E1BDA}">
          <x14:formula1>
            <xm:f>Packages!$B$3:$B$7</xm:f>
          </x14:formula1>
          <xm:sqref>B69</xm:sqref>
        </x14:dataValidation>
        <x14:dataValidation type="list" allowBlank="1" showInputMessage="1" showErrorMessage="1" xr:uid="{08DED8E9-1ED8-4A8B-A3DA-16FBFDFF79AB}">
          <x14:formula1>
            <xm:f>Brains!$B$3:$B$19</xm:f>
          </x14:formula1>
          <xm:sqref>B64</xm:sqref>
        </x14:dataValidation>
        <x14:dataValidation type="list" allowBlank="1" showInputMessage="1" showErrorMessage="1" xr:uid="{6596DB0D-4E80-4846-BC78-C685AAB6AB99}">
          <x14:formula1>
            <xm:f>Packages!$B$11:$B$19</xm:f>
          </x14:formula1>
          <xm:sqref>B70</xm:sqref>
        </x14:dataValidation>
        <x14:dataValidation type="list" allowBlank="1" showInputMessage="1" showErrorMessage="1" xr:uid="{994B3B85-8CD9-4942-8C48-AFA4E947994D}">
          <x14:formula1>
            <xm:f>Chassis!$H$3:$H$13</xm:f>
          </x14:formula1>
          <xm:sqref>B17 B5</xm:sqref>
        </x14:dataValidation>
        <x14:dataValidation type="list" allowBlank="1" showInputMessage="1" showErrorMessage="1" xr:uid="{62F173D9-702A-4CF4-8C12-6E3F36DFD853}">
          <x14:formula1>
            <xm:f>Packages!$B$29:$B$82</xm:f>
          </x14:formula1>
          <xm:sqref>A73:A90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EBFD-3600-4C24-9555-C0516707EAA2}">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874</v>
      </c>
      <c r="C2" s="204"/>
      <c r="D2" s="205"/>
      <c r="E2" s="36">
        <f>SUM(E5:E90)+E4</f>
        <v>0</v>
      </c>
      <c r="F2" s="206" t="s">
        <v>184</v>
      </c>
      <c r="G2" s="207"/>
      <c r="H2" s="208"/>
      <c r="I2" s="203" t="s">
        <v>776</v>
      </c>
      <c r="J2" s="204"/>
      <c r="K2" s="204"/>
      <c r="L2" s="204"/>
      <c r="M2" s="204"/>
      <c r="N2" s="79" t="s">
        <v>315</v>
      </c>
      <c r="O2" s="37">
        <v>16</v>
      </c>
      <c r="P2" s="151">
        <f>Z6</f>
        <v>402700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7</v>
      </c>
      <c r="E4" s="115">
        <f>_xlfn.XLOOKUP(B4,Size[Size],Size[Base Slots],,,)</f>
        <v>64</v>
      </c>
      <c r="F4" s="38">
        <f>B4+O2</f>
        <v>23</v>
      </c>
      <c r="G4" s="215" t="s">
        <v>299</v>
      </c>
      <c r="H4" s="215"/>
      <c r="I4" s="216"/>
      <c r="J4" s="109">
        <f>_xlfn.XLOOKUP(B4,Size[Size],Size[Base hits],,,)</f>
        <v>50</v>
      </c>
      <c r="K4" s="217" t="s">
        <v>715</v>
      </c>
      <c r="L4" s="218"/>
      <c r="M4" s="53">
        <f>_xlfn.XLOOKUP(B4,Size[Size],Size[Basic Cost],,,)</f>
        <v>4000</v>
      </c>
      <c r="N4" s="12" t="str">
        <f>IF(_xlfn.XLOOKUP(B4,Size[Size],Size[Hit DM],,,)=0,"",IF(_xlfn.XLOOKUP(B4,Size[Size],Size[Hit DM],,,)&gt;0,_xlfn.CONCAT("Large (+",_xlfn.XLOOKUP(B4,Size[Size],Size[Hit DM],,,),"), "),_xlfn.CONCAT("Small (",_xlfn.XLOOKUP(B4,Size[Size],Size[Hit DM],,,),"), ")))</f>
        <v xml:space="preserve">Large (+2), </v>
      </c>
      <c r="R4" s="7" t="s">
        <v>454</v>
      </c>
    </row>
    <row r="5" spans="1:26" ht="12" customHeight="1" thickBot="1" x14ac:dyDescent="0.4">
      <c r="A5" s="90" t="s">
        <v>38</v>
      </c>
      <c r="B5" s="28" t="s">
        <v>26</v>
      </c>
      <c r="C5" s="24"/>
      <c r="D5" s="24"/>
      <c r="E5" s="115">
        <f>IF(B5="none",ROUNDUP(E4*0.25,0),"")</f>
        <v>16</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4000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Superior AutoBerth (Long Duration)</v>
      </c>
      <c r="S6" s="144">
        <f>M11</f>
        <v>50</v>
      </c>
      <c r="T6" s="144" t="str">
        <f>B5</f>
        <v>None</v>
      </c>
      <c r="U6" s="144" t="str">
        <f>_xlfn.CONCAT(J14," m")</f>
        <v>0 m</v>
      </c>
      <c r="V6" s="145">
        <f>O2</f>
        <v>16</v>
      </c>
      <c r="W6" s="150">
        <f>P91</f>
        <v>447500</v>
      </c>
      <c r="X6" s="152">
        <f>IF(I2="Standard Design",0.1,0)</f>
        <v>0.1</v>
      </c>
      <c r="Y6" s="153">
        <v>2</v>
      </c>
      <c r="Z6" s="148">
        <f>FLOOR(P91*(1-X6),100)</f>
        <v>402700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Athletics (endurance) 3, Medic 5,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2000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-21</v>
      </c>
      <c r="F9" s="38"/>
      <c r="G9" s="178" t="s">
        <v>302</v>
      </c>
      <c r="H9" s="178"/>
      <c r="I9" s="179"/>
      <c r="J9" s="52">
        <f>J8*(1+B9)</f>
        <v>3456</v>
      </c>
      <c r="K9" s="177" t="s">
        <v>64</v>
      </c>
      <c r="L9" s="178"/>
      <c r="M9" s="179"/>
      <c r="O9" s="5" t="str">
        <f>IF(B9&gt;0,_xlfn.CONCAT("Athletics (endurance) ",B9,", "),"")</f>
        <v xml:space="preserve">Athletics (endurance) 3, </v>
      </c>
      <c r="P9" s="137">
        <f>-500*E9</f>
        <v>10500</v>
      </c>
      <c r="R9" s="116" t="s">
        <v>49</v>
      </c>
      <c r="S9" s="162" t="str">
        <f>IF(COUNT(B19:B26)=0,"none",_xlfn.CONCAT(COUNT(B19:B26), " X (STR ",H19," DEX ",L19,")"))</f>
        <v>1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3456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50</v>
      </c>
      <c r="N11" s="24"/>
      <c r="O11" s="24"/>
      <c r="P11" s="136">
        <f>_xlfn.XLOOKUP(B5,Locomotion[Locomotion],Locomotion[Cost X])*50*B11</f>
        <v>0</v>
      </c>
      <c r="R11" s="119" t="s">
        <v>25</v>
      </c>
      <c r="S11" s="165" t="str">
        <f>_xlfn.CONCAT(N7,N5,N4,N15:N17,N30:N34,N36:N57,N67,N69:N70)</f>
        <v xml:space="preserve">Armour (+4), Large (+2),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12)</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Storage Compartment (standard), Vacuum Environment Protection,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3456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7</v>
      </c>
      <c r="F19" s="54">
        <f t="shared" ref="F19:F28" si="1">C19*2</f>
        <v>10</v>
      </c>
      <c r="G19" s="16"/>
      <c r="H19" s="61">
        <f t="shared" ref="H19:H28" si="2">C19+G19</f>
        <v>5</v>
      </c>
      <c r="I19" s="62">
        <f t="shared" ref="I19:I28" si="3">IF(H19&gt;17,4,IF(H19&gt;14,3,IF(H19&gt;11,2,IF(H19&gt;8,1,IF(H19&gt;5,0,IF(H19&gt;2,-1,-2))))))</f>
        <v>-1</v>
      </c>
      <c r="J19" s="54">
        <f t="shared" ref="J19:J28" si="4">$O$2+3</f>
        <v>19</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-400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7</v>
      </c>
      <c r="F20" s="54">
        <f t="shared" si="1"/>
        <v>0</v>
      </c>
      <c r="G20" s="16"/>
      <c r="H20" s="6">
        <f t="shared" si="2"/>
        <v>0</v>
      </c>
      <c r="I20" s="21">
        <f t="shared" si="3"/>
        <v>-2</v>
      </c>
      <c r="J20" s="54">
        <f t="shared" si="4"/>
        <v>19</v>
      </c>
      <c r="K20" s="16"/>
      <c r="L20" s="6">
        <f t="shared" si="5"/>
        <v>0</v>
      </c>
      <c r="M20" s="21">
        <f t="shared" si="6"/>
        <v>-2</v>
      </c>
      <c r="O20" s="5" t="str">
        <f t="shared" si="7"/>
        <v/>
      </c>
      <c r="P20" s="137">
        <f>IF((B20-$B$4)*100&gt;-0.2*$P$5,(B20-$B$4)*100,-0.2*$P$5)+B20*100*(G20)^2+B20*200*(K20)^2</f>
        <v>-700</v>
      </c>
      <c r="R20" s="232" t="s">
        <v>881</v>
      </c>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19</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19</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19</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19</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19</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19</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19</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19</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560</v>
      </c>
      <c r="B38" s="198"/>
      <c r="C38" s="198"/>
      <c r="D38" s="241"/>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42"/>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241"/>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241"/>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471</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-10</v>
      </c>
      <c r="F41" s="38">
        <f>IF(_xlfn.XLOOKUP(A41,OptionsTable[Name],OptionsTable[xS],,,)=FALSE,1,IF($B$4&gt;0,$E$4,1))</f>
        <v>1</v>
      </c>
      <c r="G41" s="58">
        <v>10</v>
      </c>
      <c r="H41" s="199" t="str">
        <f>IF(_xlfn.XLOOKUP(A41,OptionsTable[Name],OptionsTable[Notes],,,)="","",_xlfn.XLOOKUP(A41,OptionsTable[Name],OptionsTable[Notes],,,))</f>
        <v>2 kg or litres / slot</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500</v>
      </c>
      <c r="R41" s="191"/>
      <c r="S41" s="192"/>
      <c r="T41" s="192"/>
      <c r="U41" s="192"/>
      <c r="V41" s="192"/>
      <c r="W41" s="192"/>
      <c r="X41" s="192"/>
      <c r="Y41" s="192"/>
      <c r="Z41" s="193"/>
    </row>
    <row r="42" spans="1:26" ht="12" customHeight="1" x14ac:dyDescent="0.35">
      <c r="A42" s="197" t="s">
        <v>100</v>
      </c>
      <c r="B42" s="198"/>
      <c r="C42" s="198"/>
      <c r="D42" s="24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64</v>
      </c>
      <c r="G42" s="58"/>
      <c r="H42" s="199" t="str">
        <f>IF(_xlfn.XLOOKUP(A42,OptionsTable[Name],OptionsTable[Notes],,,)="","",_xlfn.XLOOKUP(A42,OptionsTable[Name],OptionsTable[Notes],,,))</f>
        <v>+ Hostile env</v>
      </c>
      <c r="I42" s="200"/>
      <c r="J42" s="200"/>
      <c r="K42" s="44">
        <f>_xlfn.XLOOKUP(A42,OptionsTable[Name],OptionsTable[TL],,,)</f>
        <v>6</v>
      </c>
      <c r="L42" s="120"/>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38400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83</v>
      </c>
      <c r="C64" s="227"/>
      <c r="D64" s="227"/>
      <c r="E64" s="40">
        <f>IF(L64+K64-O2&gt;B4,-1,0)</f>
        <v>0</v>
      </c>
      <c r="F64" s="38"/>
      <c r="H64" s="1">
        <f>_xlfn.XLOOKUP(B64,Brains[Programming/Control],Brains[Base INT],,,)</f>
        <v>11</v>
      </c>
      <c r="I64" s="31">
        <f>IF(H64&gt;17,4,IF(H64&gt;14,3,IF(H64&gt;11,2,IF(H64&gt;8,1,IF(H64&gt;5,0,IF(H64&gt;2,-1,-2))))))</f>
        <v>1</v>
      </c>
      <c r="J64" s="1">
        <f>_xlfn.XLOOKUP(B64,Brains[Programming/Control],Brains[Computer/X],,,)</f>
        <v>5</v>
      </c>
      <c r="K64" s="44">
        <f>_xlfn.XLOOKUP(B64,Brains[Programming/Control],Brains[TL],,,)</f>
        <v>14</v>
      </c>
      <c r="L64">
        <f>_xlfn.XLOOKUP(B64,Brains[Programming/Control],Brains[Computer/X],,,)</f>
        <v>5</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125000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5</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12</v>
      </c>
      <c r="I66" s="15">
        <f>IF(H66&gt;17,4,IF(H66&gt;14,3,IF(H66&gt;11,2,IF(H66&gt;8,1,IF(H66&gt;5,0,IF(H66&gt;2,-1,-2))))))</f>
        <v>2</v>
      </c>
      <c r="K66" s="44"/>
      <c r="L66" s="56">
        <f>L65+F66</f>
        <v>4</v>
      </c>
      <c r="M66" t="s">
        <v>310</v>
      </c>
      <c r="P66" s="137" cm="1">
        <f t="array" ref="P66">_xlfn.IFS(B66=0,0,B66=1,(H64+1)*1000,B66=2,(H64+1)*(H64+2)*1000,B66=3,(H64+1)*(H64+2)*(H64+3)*1000)*IF(H66&gt;11,2,1)</f>
        <v>24000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5</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5,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447500</v>
      </c>
    </row>
    <row r="92" spans="1:16" ht="12" customHeight="1" thickBot="1" x14ac:dyDescent="0.45">
      <c r="A92" s="7"/>
      <c r="O92" s="149" t="str">
        <f>CONCATENATE("Cost With "&amp;X6*100 &amp; "% Discount")</f>
        <v>Cost With 10% Discount</v>
      </c>
      <c r="P92" s="147">
        <f>P2</f>
        <v>402700</v>
      </c>
    </row>
    <row r="93" spans="1:16" ht="12" customHeight="1" x14ac:dyDescent="0.35">
      <c r="B93" s="110"/>
    </row>
    <row r="94" spans="1:16" ht="12" customHeight="1" x14ac:dyDescent="0.4">
      <c r="B94" s="111"/>
    </row>
    <row r="95" spans="1:16" ht="12" customHeight="1" x14ac:dyDescent="0.35">
      <c r="A95" s="110"/>
      <c r="B95" s="112"/>
    </row>
  </sheetData>
  <sortState xmlns:xlrd2="http://schemas.microsoft.com/office/spreadsheetml/2017/richdata2" ref="A36:D43">
    <sortCondition ref="A36:A43"/>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129" priority="7">
      <formula>ABS($J$14-6) &gt; 6</formula>
    </cfRule>
  </conditionalFormatting>
  <conditionalFormatting sqref="E2">
    <cfRule type="expression" dxfId="128" priority="5">
      <formula>$E$2&lt;0</formula>
    </cfRule>
  </conditionalFormatting>
  <conditionalFormatting sqref="E15:E17">
    <cfRule type="expression" dxfId="127" priority="1">
      <formula>AND($B$4=0,E15&lt;0)</formula>
    </cfRule>
  </conditionalFormatting>
  <conditionalFormatting sqref="K5 K30:K34 K59:K61 K64:K67 K73:K90">
    <cfRule type="expression" dxfId="126" priority="6">
      <formula>K5&gt;$O$2</formula>
    </cfRule>
  </conditionalFormatting>
  <conditionalFormatting sqref="K36:K57">
    <cfRule type="expression" dxfId="125" priority="3">
      <formula>K36&gt;$O$2</formula>
    </cfRule>
  </conditionalFormatting>
  <conditionalFormatting sqref="L57">
    <cfRule type="expression" dxfId="124" priority="2">
      <formula>L57&gt;$O$2</formula>
    </cfRule>
  </conditionalFormatting>
  <conditionalFormatting sqref="L67">
    <cfRule type="expression" dxfId="123" priority="4">
      <formula>L67&lt;0</formula>
    </cfRule>
  </conditionalFormatting>
  <dataValidations count="20">
    <dataValidation type="whole" allowBlank="1" showInputMessage="1" showErrorMessage="1" error="Must be a negative number no less than a 50% of the base hits" sqref="B11" xr:uid="{5A54B57A-A020-44E1-A2A3-72DC96576E29}">
      <formula1>-J4/2</formula1>
      <formula2>0</formula2>
    </dataValidation>
    <dataValidation type="whole" allowBlank="1" showInputMessage="1" showErrorMessage="1" error="Must be whole number. No more than 50% of slots may be used for Resiliency" sqref="B10" xr:uid="{7A1FAE14-7804-48EE-865D-28CC13AD914C}">
      <formula1>0</formula1>
      <formula2>E4/2</formula2>
    </dataValidation>
    <dataValidation type="whole" allowBlank="1" showInputMessage="1" showErrorMessage="1" sqref="E11" xr:uid="{7019B9FD-1682-463B-83C6-A940926FCFED}">
      <formula1>0</formula1>
      <formula2>J4/2</formula2>
    </dataValidation>
    <dataValidation type="list" allowBlank="1" showInputMessage="1" showErrorMessage="1" error="Maximum = 3" sqref="B9" xr:uid="{08E07B78-7D57-4926-8D81-B60E59739027}">
      <formula1>"0,1,2,3"</formula1>
    </dataValidation>
    <dataValidation type="list" allowBlank="1" showInputMessage="1" showErrorMessage="1" sqref="B4" xr:uid="{791587BD-873B-4A2F-8339-468220F8D097}">
      <formula1>"0,1,2,3,4,5,6,7,8"</formula1>
    </dataValidation>
    <dataValidation type="list" allowBlank="1" showInputMessage="1" showErrorMessage="1" sqref="O2" xr:uid="{D0D1AA22-04ED-421B-B367-572B937656DB}">
      <formula1>"7,8,9,10,11,12,13,14,15,16,17,18"</formula1>
    </dataValidation>
    <dataValidation type="whole" allowBlank="1" showInputMessage="1" showErrorMessage="1" error="Max Manipulator Size = Chassis Size +2_x000a_Min Manipulator Size = 0_x000a_Whole Numbers Only" sqref="B19:B26" xr:uid="{E13D7AD9-2CF3-4B16-88AB-9EB2AFEB59D1}">
      <formula1>0</formula1>
      <formula2>$B$4+2</formula2>
    </dataValidation>
    <dataValidation type="list" allowBlank="1" showInputMessage="1" showErrorMessage="1" sqref="B27:B28 B67 B8" xr:uid="{B6D5E1E1-68BA-43C9-B633-E63518B1ACD6}">
      <formula1>"TRUE,FALSE"</formula1>
    </dataValidation>
    <dataValidation type="list" allowBlank="1" showInputMessage="1" showErrorMessage="1" sqref="B13" xr:uid="{5E29A1A8-9B15-4FA7-81D5-94A686E9A616}">
      <formula1>"0,1,2,3,4"</formula1>
    </dataValidation>
    <dataValidation type="list" allowBlank="1" showInputMessage="1" showErrorMessage="1" sqref="D73:D90 B66" xr:uid="{C268F4C5-FB0A-4338-8243-1F2EE2C0275C}">
      <formula1>"0,1,2,3"</formula1>
    </dataValidation>
    <dataValidation type="list" allowBlank="1" showInputMessage="1" showErrorMessage="1" sqref="B15" xr:uid="{A0018B5F-3D67-423F-9C24-DF36514944A0}">
      <formula1>"FALSE,TRUE"</formula1>
    </dataValidation>
    <dataValidation type="list" allowBlank="1" showInputMessage="1" showErrorMessage="1" sqref="B16" xr:uid="{A4831E1D-23EA-49B4-80F4-E81C9A1BCB3B}">
      <formula1>"No,1X,2X,3X"</formula1>
    </dataValidation>
    <dataValidation type="whole" allowBlank="1" showInputMessage="1" showErrorMessage="1" error="Must be whole number between -6 and +12" sqref="B14" xr:uid="{5AE73521-9626-45EB-9CD9-EEC15821483B}">
      <formula1>-6</formula1>
      <formula2>12</formula2>
    </dataValidation>
    <dataValidation type="whole" allowBlank="1" showInputMessage="1" showErrorMessage="1" sqref="C11:D11" xr:uid="{8D9687E2-8454-4F45-9F5C-94A4D642F8F5}">
      <formula1>0</formula1>
      <formula2>D4/2</formula2>
    </dataValidation>
    <dataValidation type="whole" allowBlank="1" showInputMessage="1" showErrorMessage="1" sqref="C13:D13" xr:uid="{E7860B84-E5BC-4813-A346-D090C3E3EB72}">
      <formula1>0</formula1>
      <formula2>D5/2</formula2>
    </dataValidation>
    <dataValidation type="whole" allowBlank="1" showInputMessage="1" showErrorMessage="1" sqref="C14:D14" xr:uid="{AE4847E9-1433-4B0E-9A61-44217FA0B8A1}">
      <formula1>0</formula1>
      <formula2>D15/2</formula2>
    </dataValidation>
    <dataValidation type="whole" allowBlank="1" showInputMessage="1" showErrorMessage="1" sqref="E13:E14" xr:uid="{35878A08-BAE8-4CBB-9271-C10CA5EC6272}">
      <formula1>0</formula1>
      <formula2>#REF!/2</formula2>
    </dataValidation>
    <dataValidation type="whole" allowBlank="1" showInputMessage="1" showErrorMessage="1" error="Max STR = Lesser of Size + TL or SIZE X 4" sqref="G19:G28" xr:uid="{E69251E3-DFA3-42A4-8255-2ABF9E658F29}">
      <formula1>0</formula1>
      <formula2>F19-C19</formula2>
    </dataValidation>
    <dataValidation type="whole" allowBlank="1" showInputMessage="1" showErrorMessage="1" error="Max DEX = TL+3" sqref="K19:K28" xr:uid="{42F18B96-FB98-4C58-94B5-5B7F5C5DA735}">
      <formula1>0</formula1>
      <formula2>J19-D19</formula2>
    </dataValidation>
    <dataValidation type="whole" allowBlank="1" showInputMessage="1" showErrorMessage="1" error="Total Armour cannot exceed Maximum" sqref="B7" xr:uid="{5770F315-F7BC-49E8-B6AA-0A211A678898}">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3265A65-07DC-4F6C-94EB-C33F46A2EAD1}">
          <x14:formula1>
            <xm:f>Options!$C$9:$C$256</xm:f>
          </x14:formula1>
          <xm:sqref>A36:A56</xm:sqref>
        </x14:dataValidation>
        <x14:dataValidation type="list" allowBlank="1" showInputMessage="1" showErrorMessage="1" xr:uid="{630137C7-09BC-4FEE-96D8-2CF95FF5985E}">
          <x14:formula1>
            <xm:f>Options!$C$9:$C$71</xm:f>
          </x14:formula1>
          <xm:sqref>A30:A34</xm:sqref>
        </x14:dataValidation>
        <x14:dataValidation type="list" allowBlank="1" showInputMessage="1" showErrorMessage="1" xr:uid="{6D93BFA8-A726-4E5D-8F55-BA415C30ED3B}">
          <x14:formula1>
            <xm:f>Packages!$B$29:$B$82</xm:f>
          </x14:formula1>
          <xm:sqref>A73:A90</xm:sqref>
        </x14:dataValidation>
        <x14:dataValidation type="list" allowBlank="1" showInputMessage="1" showErrorMessage="1" xr:uid="{34D720F4-F2AF-4337-AE99-95A67C061AD4}">
          <x14:formula1>
            <xm:f>Chassis!$H$3:$H$13</xm:f>
          </x14:formula1>
          <xm:sqref>B17 B5</xm:sqref>
        </x14:dataValidation>
        <x14:dataValidation type="list" allowBlank="1" showInputMessage="1" showErrorMessage="1" xr:uid="{EBA587A7-8E76-4DA5-8375-E4876C72A505}">
          <x14:formula1>
            <xm:f>Packages!$B$11:$B$19</xm:f>
          </x14:formula1>
          <xm:sqref>B70</xm:sqref>
        </x14:dataValidation>
        <x14:dataValidation type="list" allowBlank="1" showInputMessage="1" showErrorMessage="1" xr:uid="{8369780C-159D-4980-A823-F844F1B4260D}">
          <x14:formula1>
            <xm:f>Brains!$B$3:$B$19</xm:f>
          </x14:formula1>
          <xm:sqref>B64</xm:sqref>
        </x14:dataValidation>
        <x14:dataValidation type="list" allowBlank="1" showInputMessage="1" showErrorMessage="1" xr:uid="{D513D142-DE07-4FE6-B450-409F68584E29}">
          <x14:formula1>
            <xm:f>Packages!$B$3:$B$7</xm:f>
          </x14:formula1>
          <xm:sqref>B69</xm:sqref>
        </x14:dataValidation>
        <x14:dataValidation type="list" allowBlank="1" showInputMessage="1" showErrorMessage="1" xr:uid="{244D26B0-4698-483E-840F-6E02709CC519}">
          <x14:formula1>
            <xm:f>Packages!$B$23:$B$25</xm:f>
          </x14:formula1>
          <xm:sqref>B71</xm:sqref>
        </x14:dataValidation>
        <x14:dataValidation type="list" allowBlank="1" showInputMessage="1" showErrorMessage="1" xr:uid="{8A37FE9C-7F04-4DC3-B643-E93776515FAE}">
          <x14:formula1>
            <xm:f>Brains!$K$3:$K$16</xm:f>
          </x14:formula1>
          <xm:sqref>B65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E85F-7198-4ECF-99DE-B7564D78F845}">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839</v>
      </c>
      <c r="C2" s="204"/>
      <c r="D2" s="205"/>
      <c r="E2" s="36">
        <f>SUM(E5:E90)+E4</f>
        <v>0</v>
      </c>
      <c r="F2" s="206" t="s">
        <v>184</v>
      </c>
      <c r="G2" s="207"/>
      <c r="H2" s="208"/>
      <c r="I2" s="203" t="s">
        <v>776</v>
      </c>
      <c r="J2" s="204"/>
      <c r="K2" s="204"/>
      <c r="L2" s="204"/>
      <c r="M2" s="204"/>
      <c r="N2" s="79" t="s">
        <v>315</v>
      </c>
      <c r="O2" s="37">
        <v>10</v>
      </c>
      <c r="P2" s="151">
        <f>Z6</f>
        <v>94600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18</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Basic AutoBerth Cluster</v>
      </c>
      <c r="S6" s="144">
        <f>M11</f>
        <v>72</v>
      </c>
      <c r="T6" s="144" t="str">
        <f>B5</f>
        <v>None</v>
      </c>
      <c r="U6" s="144" t="str">
        <f>_xlfn.CONCAT(J14," m")</f>
        <v>0 m</v>
      </c>
      <c r="V6" s="145">
        <f>O2</f>
        <v>10</v>
      </c>
      <c r="W6" s="150">
        <f>P91</f>
        <v>105200</v>
      </c>
      <c r="X6" s="152">
        <f>IF(I2="Standard Design",0.1,0)</f>
        <v>0.1</v>
      </c>
      <c r="Y6" s="153">
        <v>2</v>
      </c>
      <c r="Z6" s="148">
        <f>FLOOR(P91*(1-X6),100)</f>
        <v>94600</v>
      </c>
    </row>
    <row r="7" spans="1:26" ht="12" customHeight="1" x14ac:dyDescent="0.4">
      <c r="A7" s="92" t="str">
        <f>IF( B4&gt;0,IF(COUNT(L36:L56)&gt;0,"Armour (Base =  +0)",_xlfn.CONCAT("Armour (Base =  +",_xlfn.XLOOKUP($O$2,Armour[TL],Armour[Base],,,),")")),_xlfn.CONCAT("Armour (Base =  +",_xlfn.XLOOKUP($O$2,Armour[TL],Armour[Base],,,)-2,")"))</f>
        <v>Armour (Base =  +3)</v>
      </c>
      <c r="B7" s="29">
        <v>0</v>
      </c>
      <c r="E7" s="115" cm="1">
        <f t="array" ref="E7">IF(ROUNDUP(_xlfn.XLOOKUP($O$2,Armour[TL],Armour[Slots]*B7*E4,,,),0)&lt;B7/F7,-ROUNDUP(B7/F7,0),-ROUNDUP(_xlfn.XLOOKUP($O$2,Armour[TL],Armour[Slots]*B7*E4,,,),0))</f>
        <v>0</v>
      </c>
      <c r="F7" s="38">
        <f>_xlfn.XLOOKUP($O$2,Armour[TL],Armour[Max/slot],,,)</f>
        <v>2</v>
      </c>
      <c r="G7" s="209" t="s">
        <v>183</v>
      </c>
      <c r="H7" s="209"/>
      <c r="I7" s="210"/>
      <c r="J7" s="33">
        <f>IF(B4&gt;0,IF(COUNT(L36:L56)&gt;0,B7,_xlfn.XLOOKUP($O$2,Armour[TL],Armour[Base],,,)+B7),_xlfn.XLOOKUP($O$2,Armour[TL],Armour[Base],,,)-2)</f>
        <v>3</v>
      </c>
      <c r="K7" s="93" t="s">
        <v>313</v>
      </c>
      <c r="L7" s="52">
        <f>_xlfn.XLOOKUP($O$2,Armour[TL],Armour[Max],,,)</f>
        <v>30</v>
      </c>
      <c r="N7" s="5" t="str">
        <f>_xlfn.CONCAT("Armour (+",IF(COUNT(L36:L56)&gt;0,0+B7, _xlfn.XLOOKUP($O$2,Armour[TL],Armour[Base],,,)+B7+IF(B4=0,-2,0)),"), ")</f>
        <v xml:space="preserve">Armour (+3), </v>
      </c>
      <c r="P7" s="137" cm="1">
        <f t="array" ref="P7">IF(B7&gt;-1,_xlfn.XLOOKUP($O$2,Armour[TL],-Armour[Cost/Slot]*E7,,,),-P5*0.1)</f>
        <v>0</v>
      </c>
      <c r="R7" s="119" t="s">
        <v>90</v>
      </c>
      <c r="S7" s="162" t="str">
        <f>_xlfn.CONCAT(O9,O13,O19:O28,O30:O34,O36:O57,O64,O69:O71,O73:O90)</f>
        <v xml:space="preserve">Medic 0, </v>
      </c>
      <c r="T7" s="163"/>
      <c r="U7" s="163"/>
      <c r="V7" s="163"/>
      <c r="W7" s="163"/>
      <c r="X7" s="163"/>
      <c r="Y7" s="163"/>
      <c r="Z7" s="164"/>
    </row>
    <row r="8" spans="1:26" ht="12" customHeight="1" x14ac:dyDescent="0.4">
      <c r="A8" s="93" t="s">
        <v>62</v>
      </c>
      <c r="B8" s="30" t="b">
        <v>0</v>
      </c>
      <c r="E8" s="40"/>
      <c r="F8" s="38"/>
      <c r="G8" s="178" t="s">
        <v>302</v>
      </c>
      <c r="H8" s="178"/>
      <c r="I8" s="179"/>
      <c r="J8" s="52">
        <f>_xlfn.XLOOKUP(B5,Locomotion[Locomotion],Locomotion[Endurance],,,)*(1+B8)*(IF(O2&lt;12,1,IF(O2&lt;15,1.5,2)))/IF(B4=0,24,1)</f>
        <v>216</v>
      </c>
      <c r="K8" s="211" t="s">
        <v>64</v>
      </c>
      <c r="L8" s="212"/>
      <c r="M8" s="213"/>
      <c r="P8" s="137">
        <f>B8*0.5*P5</f>
        <v>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216</v>
      </c>
      <c r="K9" s="177" t="s">
        <v>64</v>
      </c>
      <c r="L9" s="178"/>
      <c r="M9" s="179"/>
      <c r="O9" s="5" t="str">
        <f>IF(B9&gt;0,_xlfn.CONCAT("Athletics (endurance) ",B9,", "),"")</f>
        <v/>
      </c>
      <c r="P9" s="137">
        <f>-500*E9</f>
        <v>0</v>
      </c>
      <c r="R9" s="116" t="s">
        <v>49</v>
      </c>
      <c r="S9" s="162" t="str">
        <f>IF(COUNT(B19:B26)=0,"none",_xlfn.CONCAT(COUNT(B19:B26), " X (STR ",H19," DEX ",L19,")"))</f>
        <v>3 X (STR 5 DEX 6)</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216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(+3),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N/A (INT 4)</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Medical Chamber, Medical Chamber, Medical Chamber, Medical Chamber Option: Low berth (basic), Medikit (basic), Storage Compartment (refrigerated),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216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6</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13</v>
      </c>
      <c r="K19" s="16">
        <v>0</v>
      </c>
      <c r="L19" s="61">
        <f t="shared" ref="L19:L28" si="5">D19+K19</f>
        <v>6</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6</v>
      </c>
      <c r="E20" s="101" cm="1">
        <f t="array" ref="E20">ROUNDUP(_xlfn.IFS($B$4-B20=0,0,$B$4-B20=1,$E$4*0.05,$B$4-B20=2,$E$4*0.08,$B$4-B20=3,$E$4*0.09,$B$4-B20&gt;3,$E$4*0.1,$B$4-B20&lt;0,$E$4*0.1*($B$4-B20)),0)</f>
        <v>13</v>
      </c>
      <c r="F20" s="54">
        <f t="shared" si="1"/>
        <v>10</v>
      </c>
      <c r="G20" s="16"/>
      <c r="H20" s="6">
        <f t="shared" si="2"/>
        <v>5</v>
      </c>
      <c r="I20" s="21">
        <f t="shared" si="3"/>
        <v>-1</v>
      </c>
      <c r="J20" s="54">
        <f t="shared" si="4"/>
        <v>13</v>
      </c>
      <c r="K20" s="16"/>
      <c r="L20" s="6">
        <f t="shared" si="5"/>
        <v>6</v>
      </c>
      <c r="M20" s="21">
        <f t="shared" si="6"/>
        <v>0</v>
      </c>
      <c r="O20" s="5" t="str">
        <f t="shared" si="7"/>
        <v/>
      </c>
      <c r="P20" s="137">
        <f>IF((B20-$B$4)*100&gt;-0.2*$P$5,(B20-$B$4)*100,-0.2*$P$5)+B20*100*(G20)^2+B20*200*(K20)^2</f>
        <v>-500</v>
      </c>
      <c r="R20" s="232" t="s">
        <v>847</v>
      </c>
      <c r="S20" s="233"/>
      <c r="T20" s="233"/>
      <c r="U20" s="233"/>
      <c r="V20" s="233"/>
      <c r="W20" s="233"/>
      <c r="X20" s="233"/>
      <c r="Y20" s="233"/>
      <c r="Z20" s="234"/>
    </row>
    <row r="21" spans="1:26" ht="12" customHeight="1" x14ac:dyDescent="0.35">
      <c r="A21" s="93" t="s">
        <v>52</v>
      </c>
      <c r="B21" s="30">
        <v>3</v>
      </c>
      <c r="C21" s="6">
        <f t="shared" si="0"/>
        <v>5</v>
      </c>
      <c r="D21" s="97">
        <f t="shared" si="8"/>
        <v>6</v>
      </c>
      <c r="E21" s="101" cm="1">
        <f t="array" ref="E21">IF(B21=0,0,ROUNDUP(_xlfn.IFS($B$4-B21=0,-$E$4*0.1,$B$4-B21=1,-$E$4*0.05,$B$4-B21=2,-$E$4*0.02,$B$4-B21=3,-$E$4*0.01,$B$4-B21&gt;3,-$E$4*0.01,$B$4-B21&lt;0,$E$4*0.2*($B$4-B21)),0))</f>
        <v>-2</v>
      </c>
      <c r="F21" s="54">
        <f t="shared" si="1"/>
        <v>10</v>
      </c>
      <c r="G21" s="16"/>
      <c r="H21" s="6">
        <f t="shared" si="2"/>
        <v>5</v>
      </c>
      <c r="I21" s="21">
        <f t="shared" si="3"/>
        <v>-1</v>
      </c>
      <c r="J21" s="54">
        <f t="shared" si="4"/>
        <v>13</v>
      </c>
      <c r="K21" s="16"/>
      <c r="L21" s="6">
        <f t="shared" si="5"/>
        <v>6</v>
      </c>
      <c r="M21" s="21">
        <f t="shared" si="6"/>
        <v>0</v>
      </c>
      <c r="O21" s="5" t="str">
        <f t="shared" si="7"/>
        <v/>
      </c>
      <c r="P21" s="137">
        <f t="shared" ref="P21:P26" si="9">(B21)*100+B21*100*(G21)^2+B21*200*(K21)^2</f>
        <v>300</v>
      </c>
      <c r="R21" s="235"/>
      <c r="S21" s="236"/>
      <c r="T21" s="236"/>
      <c r="U21" s="236"/>
      <c r="V21" s="236"/>
      <c r="W21" s="236"/>
      <c r="X21" s="236"/>
      <c r="Y21" s="236"/>
      <c r="Z21" s="237"/>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13</v>
      </c>
      <c r="K22" s="16"/>
      <c r="L22" s="6">
        <f t="shared" si="5"/>
        <v>0</v>
      </c>
      <c r="M22" s="21">
        <f t="shared" si="6"/>
        <v>-2</v>
      </c>
      <c r="O22" s="5" t="str">
        <f t="shared" si="7"/>
        <v/>
      </c>
      <c r="P22" s="137">
        <f t="shared" si="9"/>
        <v>0</v>
      </c>
      <c r="R22" s="235"/>
      <c r="S22" s="236"/>
      <c r="T22" s="236"/>
      <c r="U22" s="236"/>
      <c r="V22" s="236"/>
      <c r="W22" s="236"/>
      <c r="X22" s="236"/>
      <c r="Y22" s="236"/>
      <c r="Z22" s="237"/>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13</v>
      </c>
      <c r="K23" s="16"/>
      <c r="L23" s="6">
        <f t="shared" si="5"/>
        <v>0</v>
      </c>
      <c r="M23" s="21">
        <f t="shared" si="6"/>
        <v>-2</v>
      </c>
      <c r="O23" s="5" t="str">
        <f t="shared" si="7"/>
        <v/>
      </c>
      <c r="P23" s="137">
        <f t="shared" si="9"/>
        <v>0</v>
      </c>
      <c r="R23" s="235"/>
      <c r="S23" s="236"/>
      <c r="T23" s="236"/>
      <c r="U23" s="236"/>
      <c r="V23" s="236"/>
      <c r="W23" s="236"/>
      <c r="X23" s="236"/>
      <c r="Y23" s="236"/>
      <c r="Z23" s="237"/>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13</v>
      </c>
      <c r="K24" s="16"/>
      <c r="L24" s="6">
        <f t="shared" si="5"/>
        <v>0</v>
      </c>
      <c r="M24" s="21">
        <f t="shared" si="6"/>
        <v>-2</v>
      </c>
      <c r="O24" s="5" t="str">
        <f t="shared" si="7"/>
        <v/>
      </c>
      <c r="P24" s="137">
        <f t="shared" si="9"/>
        <v>0</v>
      </c>
      <c r="R24" s="235"/>
      <c r="S24" s="236"/>
      <c r="T24" s="236"/>
      <c r="U24" s="236"/>
      <c r="V24" s="236"/>
      <c r="W24" s="236"/>
      <c r="X24" s="236"/>
      <c r="Y24" s="236"/>
      <c r="Z24" s="237"/>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13</v>
      </c>
      <c r="K25" s="16"/>
      <c r="L25" s="6">
        <f t="shared" si="5"/>
        <v>0</v>
      </c>
      <c r="M25" s="21">
        <f t="shared" si="6"/>
        <v>-2</v>
      </c>
      <c r="O25" s="5" t="str">
        <f t="shared" si="7"/>
        <v/>
      </c>
      <c r="P25" s="137">
        <f t="shared" si="9"/>
        <v>0</v>
      </c>
      <c r="R25" s="235"/>
      <c r="S25" s="236"/>
      <c r="T25" s="236"/>
      <c r="U25" s="236"/>
      <c r="V25" s="236"/>
      <c r="W25" s="236"/>
      <c r="X25" s="236"/>
      <c r="Y25" s="236"/>
      <c r="Z25" s="237"/>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13</v>
      </c>
      <c r="K26" s="81"/>
      <c r="L26" s="82">
        <f t="shared" si="5"/>
        <v>0</v>
      </c>
      <c r="M26" s="83">
        <f t="shared" si="6"/>
        <v>-2</v>
      </c>
      <c r="O26" s="5" t="str">
        <f t="shared" si="7"/>
        <v/>
      </c>
      <c r="P26" s="137">
        <f t="shared" si="9"/>
        <v>0</v>
      </c>
      <c r="R26" s="235"/>
      <c r="S26" s="236"/>
      <c r="T26" s="236"/>
      <c r="U26" s="236"/>
      <c r="V26" s="236"/>
      <c r="W26" s="236"/>
      <c r="X26" s="236"/>
      <c r="Y26" s="236"/>
      <c r="Z26" s="237"/>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13</v>
      </c>
      <c r="K27" s="86"/>
      <c r="L27" s="87">
        <f t="shared" si="5"/>
        <v>0</v>
      </c>
      <c r="M27" s="88">
        <f t="shared" si="6"/>
        <v>-2</v>
      </c>
      <c r="N27" s="74"/>
      <c r="O27" s="89" t="str">
        <f t="shared" si="7"/>
        <v/>
      </c>
      <c r="P27" s="138">
        <f>(B27)*100*$B$4+B27*$B$4*100*(G27)^2+B27*$B$4*200*(K27)^2</f>
        <v>0</v>
      </c>
      <c r="R27" s="235"/>
      <c r="S27" s="236"/>
      <c r="T27" s="236"/>
      <c r="U27" s="236"/>
      <c r="V27" s="236"/>
      <c r="W27" s="236"/>
      <c r="X27" s="236"/>
      <c r="Y27" s="236"/>
      <c r="Z27" s="237"/>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13</v>
      </c>
      <c r="K28" s="19"/>
      <c r="L28" s="20">
        <f t="shared" si="5"/>
        <v>0</v>
      </c>
      <c r="M28" s="22">
        <f t="shared" si="6"/>
        <v>-2</v>
      </c>
      <c r="N28" s="24"/>
      <c r="O28" s="5" t="str">
        <f t="shared" si="7"/>
        <v/>
      </c>
      <c r="P28" s="136">
        <f>(B28)*100*$B$4+B28*$B$4*100*(G28)^2+B28*$B$4*200*(K28)^2</f>
        <v>0</v>
      </c>
      <c r="R28" s="235"/>
      <c r="S28" s="236"/>
      <c r="T28" s="236"/>
      <c r="U28" s="236"/>
      <c r="V28" s="236"/>
      <c r="W28" s="236"/>
      <c r="X28" s="236"/>
      <c r="Y28" s="236"/>
      <c r="Z28" s="237"/>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235"/>
      <c r="S29" s="236"/>
      <c r="T29" s="236"/>
      <c r="U29" s="236"/>
      <c r="V29" s="236"/>
      <c r="W29" s="236"/>
      <c r="X29" s="236"/>
      <c r="Y29" s="236"/>
      <c r="Z29" s="237"/>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235"/>
      <c r="S30" s="236"/>
      <c r="T30" s="236"/>
      <c r="U30" s="236"/>
      <c r="V30" s="236"/>
      <c r="W30" s="236"/>
      <c r="X30" s="236"/>
      <c r="Y30" s="236"/>
      <c r="Z30" s="237"/>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235"/>
      <c r="S31" s="236"/>
      <c r="T31" s="236"/>
      <c r="U31" s="236"/>
      <c r="V31" s="236"/>
      <c r="W31" s="236"/>
      <c r="X31" s="236"/>
      <c r="Y31" s="236"/>
      <c r="Z31" s="237"/>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235"/>
      <c r="S32" s="236"/>
      <c r="T32" s="236"/>
      <c r="U32" s="236"/>
      <c r="V32" s="236"/>
      <c r="W32" s="236"/>
      <c r="X32" s="236"/>
      <c r="Y32" s="236"/>
      <c r="Z32" s="237"/>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235"/>
      <c r="S33" s="236"/>
      <c r="T33" s="236"/>
      <c r="U33" s="236"/>
      <c r="V33" s="236"/>
      <c r="W33" s="236"/>
      <c r="X33" s="236"/>
      <c r="Y33" s="236"/>
      <c r="Z33" s="237"/>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235"/>
      <c r="S34" s="236"/>
      <c r="T34" s="236"/>
      <c r="U34" s="236"/>
      <c r="V34" s="236"/>
      <c r="W34" s="236"/>
      <c r="X34" s="236"/>
      <c r="Y34" s="236"/>
      <c r="Z34" s="237"/>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235"/>
      <c r="S35" s="236"/>
      <c r="T35" s="236"/>
      <c r="U35" s="236"/>
      <c r="V35" s="236"/>
      <c r="W35" s="236"/>
      <c r="X35" s="236"/>
      <c r="Y35" s="236"/>
      <c r="Z35" s="237"/>
    </row>
    <row r="36" spans="1:26" ht="12" customHeight="1" x14ac:dyDescent="0.35">
      <c r="A36" s="197" t="s">
        <v>240</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-50</v>
      </c>
      <c r="F36" s="38">
        <f>IF(_xlfn.XLOOKUP(A36,OptionsTable[Name],OptionsTable[xS],,,)=FALSE,1,IF($B$4&gt;0,$E$4,1))</f>
        <v>1</v>
      </c>
      <c r="G36" s="58">
        <v>50</v>
      </c>
      <c r="H36" s="199" t="str">
        <f>IF(_xlfn.XLOOKUP(A36,OptionsTable[Name],OptionsTable[Notes],,,)="","",_xlfn.XLOOKUP(A36,OptionsTable[Name],OptionsTable[Notes],,,))</f>
        <v>DM+1 to Max skill</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10000</v>
      </c>
      <c r="R36" s="235"/>
      <c r="S36" s="236"/>
      <c r="T36" s="236"/>
      <c r="U36" s="236"/>
      <c r="V36" s="236"/>
      <c r="W36" s="236"/>
      <c r="X36" s="236"/>
      <c r="Y36" s="236"/>
      <c r="Z36" s="237"/>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235"/>
      <c r="S37" s="236"/>
      <c r="T37" s="236"/>
      <c r="U37" s="236"/>
      <c r="V37" s="236"/>
      <c r="W37" s="236"/>
      <c r="X37" s="236"/>
      <c r="Y37" s="236"/>
      <c r="Z37" s="237"/>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-50</v>
      </c>
      <c r="F38" s="38">
        <f>IF(_xlfn.XLOOKUP(A38,OptionsTable[Name],OptionsTable[xS],,,)=FALSE,1,IF($B$4&gt;0,$E$4,1))</f>
        <v>1</v>
      </c>
      <c r="G38" s="58">
        <v>50</v>
      </c>
      <c r="H38" s="199" t="str">
        <f>IF(_xlfn.XLOOKUP(A38,OptionsTable[Name],OptionsTable[Notes],,,)="","",_xlfn.XLOOKUP(A38,OptionsTable[Name],OptionsTable[Notes],,,))</f>
        <v>DM+1 to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10000</v>
      </c>
      <c r="R38" s="235"/>
      <c r="S38" s="236"/>
      <c r="T38" s="236"/>
      <c r="U38" s="236"/>
      <c r="V38" s="236"/>
      <c r="W38" s="236"/>
      <c r="X38" s="236"/>
      <c r="Y38" s="236"/>
      <c r="Z38" s="237"/>
    </row>
    <row r="39" spans="1:26" ht="12" customHeight="1" x14ac:dyDescent="0.35">
      <c r="A39" s="197" t="s">
        <v>559</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-24</v>
      </c>
      <c r="F39" s="38">
        <f>IF(_xlfn.XLOOKUP(A39,OptionsTable[Name],OptionsTable[xS],,,)=FALSE,1,IF($B$4&gt;0,$E$4,1))</f>
        <v>1</v>
      </c>
      <c r="G39" s="58">
        <v>3</v>
      </c>
      <c r="H39" s="199" t="str">
        <f>IF(_xlfn.XLOOKUP(A39,OptionsTable[Name],OptionsTable[Notes],,,)="","",_xlfn.XLOOKUP(A39,OptionsTable[Name],OptionsTable[Notes],,,))</f>
        <v/>
      </c>
      <c r="I39" s="200"/>
      <c r="J39" s="200"/>
      <c r="K39" s="44">
        <f>_xlfn.XLOOKUP(A39,OptionsTable[Name],OptionsTable[TL],,,)</f>
        <v>10</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60000</v>
      </c>
      <c r="R39" s="235"/>
      <c r="S39" s="236"/>
      <c r="T39" s="236"/>
      <c r="U39" s="236"/>
      <c r="V39" s="236"/>
      <c r="W39" s="236"/>
      <c r="X39" s="236"/>
      <c r="Y39" s="236"/>
      <c r="Z39" s="237"/>
    </row>
    <row r="40" spans="1:26" ht="12" customHeight="1" x14ac:dyDescent="0.35">
      <c r="A40" s="197" t="s">
        <v>200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-1</v>
      </c>
      <c r="F40" s="38">
        <f>IF(_xlfn.XLOOKUP(A40,OptionsTable[Name],OptionsTable[xS],,,)=FALSE,1,IF($B$4&gt;0,$E$4,1))</f>
        <v>1</v>
      </c>
      <c r="G40" s="58"/>
      <c r="H40" s="199" t="str">
        <f>IF(_xlfn.XLOOKUP(A40,OptionsTable[Name],OptionsTable[Notes],,,)="","",_xlfn.XLOOKUP(A40,OptionsTable[Name],OptionsTable[Notes],,,))</f>
        <v>0 max skill</v>
      </c>
      <c r="I40" s="200"/>
      <c r="J40" s="200"/>
      <c r="K40" s="44">
        <f>_xlfn.XLOOKUP(A40,OptionsTable[Name],OptionsTable[TL],,,)</f>
        <v>8</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1000</v>
      </c>
      <c r="R40" s="235"/>
      <c r="S40" s="236"/>
      <c r="T40" s="236"/>
      <c r="U40" s="236"/>
      <c r="V40" s="236"/>
      <c r="W40" s="236"/>
      <c r="X40" s="236"/>
      <c r="Y40" s="236"/>
      <c r="Z40" s="237"/>
    </row>
    <row r="41" spans="1:26" ht="12" customHeight="1" x14ac:dyDescent="0.35">
      <c r="A41" s="30" t="s">
        <v>190</v>
      </c>
      <c r="B41" s="157"/>
      <c r="C41" s="157"/>
      <c r="D41" s="157"/>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-9</v>
      </c>
      <c r="F41" s="38">
        <f>IF(_xlfn.XLOOKUP(A41,OptionsTable[Name],OptionsTable[xS],,,)=FALSE,1,IF($B$4&gt;0,$E$4,1))</f>
        <v>1</v>
      </c>
      <c r="G41" s="58">
        <v>9</v>
      </c>
      <c r="H41" s="199" t="str">
        <f>IF(_xlfn.XLOOKUP(A41,OptionsTable[Name],OptionsTable[Notes],,,)="","",_xlfn.XLOOKUP(A41,OptionsTable[Name],OptionsTable[Notes],,,))</f>
        <v>2 kg or litres / slot</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900</v>
      </c>
      <c r="R41" s="235"/>
      <c r="S41" s="236"/>
      <c r="T41" s="236"/>
      <c r="U41" s="236"/>
      <c r="V41" s="236"/>
      <c r="W41" s="236"/>
      <c r="X41" s="236"/>
      <c r="Y41" s="236"/>
      <c r="Z41" s="237"/>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235"/>
      <c r="S42" s="236"/>
      <c r="T42" s="236"/>
      <c r="U42" s="236"/>
      <c r="V42" s="236"/>
      <c r="W42" s="236"/>
      <c r="X42" s="236"/>
      <c r="Y42" s="236"/>
      <c r="Z42" s="237"/>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235"/>
      <c r="S43" s="236"/>
      <c r="T43" s="236"/>
      <c r="U43" s="236"/>
      <c r="V43" s="236"/>
      <c r="W43" s="236"/>
      <c r="X43" s="236"/>
      <c r="Y43" s="236"/>
      <c r="Z43" s="237"/>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235"/>
      <c r="S44" s="236"/>
      <c r="T44" s="236"/>
      <c r="U44" s="236"/>
      <c r="V44" s="236"/>
      <c r="W44" s="236"/>
      <c r="X44" s="236"/>
      <c r="Y44" s="236"/>
      <c r="Z44" s="237"/>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235"/>
      <c r="S45" s="236"/>
      <c r="T45" s="236"/>
      <c r="U45" s="236"/>
      <c r="V45" s="236"/>
      <c r="W45" s="236"/>
      <c r="X45" s="236"/>
      <c r="Y45" s="236"/>
      <c r="Z45" s="237"/>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235"/>
      <c r="S46" s="236"/>
      <c r="T46" s="236"/>
      <c r="U46" s="236"/>
      <c r="V46" s="236"/>
      <c r="W46" s="236"/>
      <c r="X46" s="236"/>
      <c r="Y46" s="236"/>
      <c r="Z46" s="237"/>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235"/>
      <c r="S47" s="236"/>
      <c r="T47" s="236"/>
      <c r="U47" s="236"/>
      <c r="V47" s="236"/>
      <c r="W47" s="236"/>
      <c r="X47" s="236"/>
      <c r="Y47" s="236"/>
      <c r="Z47" s="237"/>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235"/>
      <c r="S48" s="236"/>
      <c r="T48" s="236"/>
      <c r="U48" s="236"/>
      <c r="V48" s="236"/>
      <c r="W48" s="236"/>
      <c r="X48" s="236"/>
      <c r="Y48" s="236"/>
      <c r="Z48" s="237"/>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235"/>
      <c r="S49" s="236"/>
      <c r="T49" s="236"/>
      <c r="U49" s="236"/>
      <c r="V49" s="236"/>
      <c r="W49" s="236"/>
      <c r="X49" s="236"/>
      <c r="Y49" s="236"/>
      <c r="Z49" s="237"/>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235"/>
      <c r="S50" s="236"/>
      <c r="T50" s="236"/>
      <c r="U50" s="236"/>
      <c r="V50" s="236"/>
      <c r="W50" s="236"/>
      <c r="X50" s="236"/>
      <c r="Y50" s="236"/>
      <c r="Z50" s="237"/>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235"/>
      <c r="S51" s="236"/>
      <c r="T51" s="236"/>
      <c r="U51" s="236"/>
      <c r="V51" s="236"/>
      <c r="W51" s="236"/>
      <c r="X51" s="236"/>
      <c r="Y51" s="236"/>
      <c r="Z51" s="237"/>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235"/>
      <c r="S52" s="236"/>
      <c r="T52" s="236"/>
      <c r="U52" s="236"/>
      <c r="V52" s="236"/>
      <c r="W52" s="236"/>
      <c r="X52" s="236"/>
      <c r="Y52" s="236"/>
      <c r="Z52" s="237"/>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235"/>
      <c r="S53" s="236"/>
      <c r="T53" s="236"/>
      <c r="U53" s="236"/>
      <c r="V53" s="236"/>
      <c r="W53" s="236"/>
      <c r="X53" s="236"/>
      <c r="Y53" s="236"/>
      <c r="Z53" s="237"/>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235"/>
      <c r="S54" s="236"/>
      <c r="T54" s="236"/>
      <c r="U54" s="236"/>
      <c r="V54" s="236"/>
      <c r="W54" s="236"/>
      <c r="X54" s="236"/>
      <c r="Y54" s="236"/>
      <c r="Z54" s="237"/>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235"/>
      <c r="S55" s="236"/>
      <c r="T55" s="236"/>
      <c r="U55" s="236"/>
      <c r="V55" s="236"/>
      <c r="W55" s="236"/>
      <c r="X55" s="236"/>
      <c r="Y55" s="236"/>
      <c r="Z55" s="237"/>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235"/>
      <c r="S56" s="236"/>
      <c r="T56" s="236"/>
      <c r="U56" s="236"/>
      <c r="V56" s="236"/>
      <c r="W56" s="236"/>
      <c r="X56" s="236"/>
      <c r="Y56" s="236"/>
      <c r="Z56" s="237"/>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235"/>
      <c r="S57" s="236"/>
      <c r="T57" s="236"/>
      <c r="U57" s="236"/>
      <c r="V57" s="236"/>
      <c r="W57" s="236"/>
      <c r="X57" s="236"/>
      <c r="Y57" s="236"/>
      <c r="Z57" s="237"/>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235"/>
      <c r="S58" s="236"/>
      <c r="T58" s="236"/>
      <c r="U58" s="236"/>
      <c r="V58" s="236"/>
      <c r="W58" s="236"/>
      <c r="X58" s="236"/>
      <c r="Y58" s="236"/>
      <c r="Z58" s="237"/>
    </row>
    <row r="59" spans="1:26" ht="12" customHeight="1" x14ac:dyDescent="0.35">
      <c r="A59" s="226" t="s">
        <v>359</v>
      </c>
      <c r="B59" s="227"/>
      <c r="C59" s="227"/>
      <c r="D59" s="227"/>
      <c r="E59" s="40"/>
      <c r="F59" s="38"/>
      <c r="G59" s="108"/>
      <c r="H59" s="228"/>
      <c r="I59" s="229"/>
      <c r="J59" s="51"/>
      <c r="K59" s="50"/>
      <c r="L59" s="51"/>
      <c r="M59" s="51"/>
      <c r="N59" s="51"/>
      <c r="P59" s="141"/>
      <c r="R59" s="235"/>
      <c r="S59" s="236"/>
      <c r="T59" s="236"/>
      <c r="U59" s="236"/>
      <c r="V59" s="236"/>
      <c r="W59" s="236"/>
      <c r="X59" s="236"/>
      <c r="Y59" s="236"/>
      <c r="Z59" s="237"/>
    </row>
    <row r="60" spans="1:26" ht="12" customHeight="1" x14ac:dyDescent="0.35">
      <c r="A60" s="197"/>
      <c r="B60" s="198"/>
      <c r="C60" s="198"/>
      <c r="D60" s="198"/>
      <c r="E60" s="40"/>
      <c r="F60" s="38"/>
      <c r="G60" s="58"/>
      <c r="H60" s="199"/>
      <c r="I60" s="219"/>
      <c r="J60" s="23"/>
      <c r="K60" s="45"/>
      <c r="L60" s="23"/>
      <c r="M60" s="23"/>
      <c r="N60" s="23"/>
      <c r="P60" s="142"/>
      <c r="R60" s="235"/>
      <c r="S60" s="236"/>
      <c r="T60" s="236"/>
      <c r="U60" s="236"/>
      <c r="V60" s="236"/>
      <c r="W60" s="236"/>
      <c r="X60" s="236"/>
      <c r="Y60" s="236"/>
      <c r="Z60" s="237"/>
    </row>
    <row r="61" spans="1:26" ht="12" customHeight="1" x14ac:dyDescent="0.35">
      <c r="A61" s="197"/>
      <c r="B61" s="198"/>
      <c r="C61" s="198"/>
      <c r="D61" s="198"/>
      <c r="E61" s="40"/>
      <c r="F61" s="38"/>
      <c r="G61" s="58"/>
      <c r="H61" s="199"/>
      <c r="I61" s="219"/>
      <c r="J61" s="23"/>
      <c r="K61" s="45"/>
      <c r="L61" s="23"/>
      <c r="M61" s="23"/>
      <c r="N61" s="23"/>
      <c r="P61" s="142"/>
      <c r="R61" s="235"/>
      <c r="S61" s="236"/>
      <c r="T61" s="236"/>
      <c r="U61" s="236"/>
      <c r="V61" s="236"/>
      <c r="W61" s="236"/>
      <c r="X61" s="236"/>
      <c r="Y61" s="236"/>
      <c r="Z61" s="237"/>
    </row>
    <row r="62" spans="1:26" ht="12" customHeight="1" thickBot="1" x14ac:dyDescent="0.4">
      <c r="E62" s="40"/>
      <c r="F62" s="38"/>
      <c r="K62" s="40"/>
      <c r="R62" s="235"/>
      <c r="S62" s="236"/>
      <c r="T62" s="236"/>
      <c r="U62" s="236"/>
      <c r="V62" s="236"/>
      <c r="W62" s="236"/>
      <c r="X62" s="236"/>
      <c r="Y62" s="236"/>
      <c r="Z62" s="237"/>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235"/>
      <c r="S63" s="236"/>
      <c r="T63" s="236"/>
      <c r="U63" s="236"/>
      <c r="V63" s="236"/>
      <c r="W63" s="236"/>
      <c r="X63" s="236"/>
      <c r="Y63" s="236"/>
      <c r="Z63" s="237"/>
    </row>
    <row r="64" spans="1:26" ht="12" customHeight="1" x14ac:dyDescent="0.35">
      <c r="A64" s="93" t="s">
        <v>309</v>
      </c>
      <c r="B64" s="226" t="s">
        <v>76</v>
      </c>
      <c r="C64" s="227"/>
      <c r="D64" s="227"/>
      <c r="E64" s="40">
        <f>IF(L64+K64-O2&gt;B4,-1,0)</f>
        <v>0</v>
      </c>
      <c r="F64" s="38"/>
      <c r="H64" s="1">
        <f>_xlfn.XLOOKUP(B64,Brains[Programming/Control],Brains[Base INT],,,)</f>
        <v>4</v>
      </c>
      <c r="I64" s="31">
        <f>IF(H64&gt;17,4,IF(H64&gt;14,3,IF(H64&gt;11,2,IF(H64&gt;8,1,IF(H64&gt;5,0,IF(H64&gt;2,-1,-2))))))</f>
        <v>-1</v>
      </c>
      <c r="J64" s="1">
        <f>_xlfn.XLOOKUP(B64,Brains[Programming/Control],Brains[Computer/X],,,)</f>
        <v>1</v>
      </c>
      <c r="K64" s="44">
        <f>_xlfn.XLOOKUP(B64,Brains[Programming/Control],Brains[TL],,,)</f>
        <v>10</v>
      </c>
      <c r="L64">
        <f>_xlfn.XLOOKUP(B64,Brains[Programming/Control],Brains[Computer/X],,,)</f>
        <v>1</v>
      </c>
      <c r="M64" s="12" t="str">
        <f>_xlfn.XLOOKUP(B64,Brains[Programming/Control],Brains[Base capability (built-in no bandwidth, cumulative)],,,)</f>
        <v>Limited language, Security/0</v>
      </c>
      <c r="N64" s="12"/>
      <c r="O64" s="12" t="str">
        <f>IF(_xlfn.XLOOKUP(B64,Brains[Programming/Control],Brains[Skill],,,)="","",_xlfn.XLOOKUP(B64,Brains[Programming/Control],Brains[Skill],,,))</f>
        <v/>
      </c>
      <c r="P64" s="137">
        <f>_xlfn.XLOOKUP(B64,Brains[Programming/Control],Brains[Cost],,,)*IF(L64&gt;2,2/(2)^(1+O2-K64),1)</f>
        <v>4000</v>
      </c>
      <c r="R64" s="235"/>
      <c r="S64" s="236"/>
      <c r="T64" s="236"/>
      <c r="U64" s="236"/>
      <c r="V64" s="236"/>
      <c r="W64" s="236"/>
      <c r="X64" s="236"/>
      <c r="Y64" s="236"/>
      <c r="Z64" s="237"/>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1</v>
      </c>
      <c r="M65" t="s">
        <v>310</v>
      </c>
      <c r="P65" s="137">
        <f>_xlfn.XLOOKUP(B65,Bandwidth[Minimum Base Brain],Bandwidth[Cost],,,)</f>
        <v>0</v>
      </c>
      <c r="R65" s="235"/>
      <c r="S65" s="236"/>
      <c r="T65" s="236"/>
      <c r="U65" s="236"/>
      <c r="V65" s="236"/>
      <c r="W65" s="236"/>
      <c r="X65" s="236"/>
      <c r="Y65" s="236"/>
      <c r="Z65" s="237"/>
    </row>
    <row r="66" spans="1:26" ht="12" customHeight="1" x14ac:dyDescent="0.35">
      <c r="A66" s="93" t="s">
        <v>708</v>
      </c>
      <c r="B66" s="29">
        <v>0</v>
      </c>
      <c r="E66" s="40"/>
      <c r="F66" s="38" cm="1">
        <f t="array" ref="F66">_xlfn.IFS(B66=0,0,B66=1,-1,B66=2,-3,B66=3,-6)</f>
        <v>0</v>
      </c>
      <c r="H66" s="6">
        <f>H64+B66</f>
        <v>4</v>
      </c>
      <c r="I66" s="15">
        <f>IF(H66&gt;17,4,IF(H66&gt;14,3,IF(H66&gt;11,2,IF(H66&gt;8,1,IF(H66&gt;5,0,IF(H66&gt;2,-1,-2))))))</f>
        <v>-1</v>
      </c>
      <c r="K66" s="44"/>
      <c r="L66" s="56">
        <f>L65+F66</f>
        <v>1</v>
      </c>
      <c r="M66" t="s">
        <v>310</v>
      </c>
      <c r="P66" s="137" cm="1">
        <f t="array" ref="P66">_xlfn.IFS(B66=0,0,B66=1,(H64+1)*1000,B66=2,(H64+1)*(H64+2)*1000,B66=3,(H64+1)*(H64+2)*(H64+3)*1000)*IF(H66&gt;11,2,1)</f>
        <v>0</v>
      </c>
      <c r="R66" s="235"/>
      <c r="S66" s="236"/>
      <c r="T66" s="236"/>
      <c r="U66" s="236"/>
      <c r="V66" s="236"/>
      <c r="W66" s="236"/>
      <c r="X66" s="236"/>
      <c r="Y66" s="236"/>
      <c r="Z66" s="237"/>
    </row>
    <row r="67" spans="1:26" ht="12" customHeight="1" thickBot="1" x14ac:dyDescent="0.4">
      <c r="A67" s="93" t="s">
        <v>308</v>
      </c>
      <c r="B67" s="28" t="b">
        <v>0</v>
      </c>
      <c r="C67" s="24"/>
      <c r="D67" s="24"/>
      <c r="E67" s="41"/>
      <c r="F67" s="39"/>
      <c r="G67" s="24"/>
      <c r="H67" s="47"/>
      <c r="I67" s="24"/>
      <c r="J67" s="105">
        <f>J64-COUNTIF(G73:G90,0)</f>
        <v>1</v>
      </c>
      <c r="K67" s="43"/>
      <c r="L67" s="57">
        <f>L66-SUM(G69:G90)</f>
        <v>0</v>
      </c>
      <c r="M67" s="24" t="s">
        <v>312</v>
      </c>
      <c r="N67" s="25" t="str">
        <f>IF(B67,"Hardened, ","")</f>
        <v/>
      </c>
      <c r="O67" s="24"/>
      <c r="P67" s="136">
        <f>B67*(P65+P64)*0.5</f>
        <v>0</v>
      </c>
      <c r="R67" s="235"/>
      <c r="S67" s="236"/>
      <c r="T67" s="236"/>
      <c r="U67" s="236"/>
      <c r="V67" s="236"/>
      <c r="W67" s="236"/>
      <c r="X67" s="236"/>
      <c r="Y67" s="236"/>
      <c r="Z67" s="237"/>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235"/>
      <c r="S68" s="236"/>
      <c r="T68" s="236"/>
      <c r="U68" s="236"/>
      <c r="V68" s="236"/>
      <c r="W68" s="236"/>
      <c r="X68" s="236"/>
      <c r="Y68" s="236"/>
      <c r="Z68" s="237"/>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235"/>
      <c r="S69" s="236"/>
      <c r="T69" s="236"/>
      <c r="U69" s="236"/>
      <c r="V69" s="236"/>
      <c r="W69" s="236"/>
      <c r="X69" s="236"/>
      <c r="Y69" s="236"/>
      <c r="Z69" s="237"/>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235"/>
      <c r="S70" s="236"/>
      <c r="T70" s="236"/>
      <c r="U70" s="236"/>
      <c r="V70" s="236"/>
      <c r="W70" s="236"/>
      <c r="X70" s="236"/>
      <c r="Y70" s="236"/>
      <c r="Z70" s="237"/>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235"/>
      <c r="S71" s="236"/>
      <c r="T71" s="236"/>
      <c r="U71" s="236"/>
      <c r="V71" s="236"/>
      <c r="W71" s="236"/>
      <c r="X71" s="236"/>
      <c r="Y71" s="236"/>
      <c r="Z71" s="237"/>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235"/>
      <c r="S72" s="236"/>
      <c r="T72" s="236"/>
      <c r="U72" s="236"/>
      <c r="V72" s="236"/>
      <c r="W72" s="236"/>
      <c r="X72" s="236"/>
      <c r="Y72" s="236"/>
      <c r="Z72" s="237"/>
    </row>
    <row r="73" spans="1:26" ht="12" customHeight="1" x14ac:dyDescent="0.35">
      <c r="A73" s="48" t="s">
        <v>131</v>
      </c>
      <c r="B73" s="228"/>
      <c r="C73" s="229"/>
      <c r="D73" s="58">
        <v>1</v>
      </c>
      <c r="E73" s="40"/>
      <c r="G73" s="59">
        <f>IF(A73="N/A","",D73+_xlfn.XLOOKUP(A73,StandardBrain[Name],StandardBrain[Bandwidth],,,))</f>
        <v>1</v>
      </c>
      <c r="I73" s="59" t="str">
        <f>_xlfn.XLOOKUP(A73,StandardBrain[Name],StandardBrain[Characteristic],,,)</f>
        <v>INT</v>
      </c>
      <c r="K73" s="44">
        <f>_xlfn.XLOOKUP(A73,StandardBrain[Name],StandardBrain[TL],,,)+D73</f>
        <v>10</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0, </v>
      </c>
      <c r="P73" s="137">
        <f>_xlfn.XLOOKUP(A73,StandardBrain[Name],StandardBrain[Cr],,,)*10^(D73)</f>
        <v>2000</v>
      </c>
      <c r="R73" s="235"/>
      <c r="S73" s="236"/>
      <c r="T73" s="236"/>
      <c r="U73" s="236"/>
      <c r="V73" s="236"/>
      <c r="W73" s="236"/>
      <c r="X73" s="236"/>
      <c r="Y73" s="236"/>
      <c r="Z73" s="237"/>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235"/>
      <c r="S74" s="236"/>
      <c r="T74" s="236"/>
      <c r="U74" s="236"/>
      <c r="V74" s="236"/>
      <c r="W74" s="236"/>
      <c r="X74" s="236"/>
      <c r="Y74" s="236"/>
      <c r="Z74" s="237"/>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238"/>
      <c r="S75" s="239"/>
      <c r="T75" s="239"/>
      <c r="U75" s="239"/>
      <c r="V75" s="239"/>
      <c r="W75" s="239"/>
      <c r="X75" s="239"/>
      <c r="Y75" s="239"/>
      <c r="Z75" s="240"/>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105200</v>
      </c>
    </row>
    <row r="92" spans="1:16" ht="12" customHeight="1" thickBot="1" x14ac:dyDescent="0.45">
      <c r="A92" s="7"/>
      <c r="O92" s="149" t="str">
        <f>CONCATENATE("Cost With "&amp;X6*100 &amp; "% Discount")</f>
        <v>Cost With 10% Discount</v>
      </c>
      <c r="P92" s="147">
        <f>P2</f>
        <v>94600</v>
      </c>
    </row>
    <row r="93" spans="1:16" ht="12" customHeight="1" x14ac:dyDescent="0.35">
      <c r="B93" s="110"/>
    </row>
    <row r="94" spans="1:16" ht="12" customHeight="1" x14ac:dyDescent="0.4">
      <c r="B94" s="111"/>
    </row>
    <row r="95" spans="1:16" ht="12" customHeight="1" x14ac:dyDescent="0.35">
      <c r="A95" s="110"/>
      <c r="B95" s="112"/>
    </row>
  </sheetData>
  <sortState xmlns:xlrd2="http://schemas.microsoft.com/office/spreadsheetml/2017/richdata2" ref="A39:D40">
    <sortCondition ref="A39:A40"/>
  </sortState>
  <dataConsolidate/>
  <mergeCells count="112">
    <mergeCell ref="B69:D69"/>
    <mergeCell ref="B70:D70"/>
    <mergeCell ref="B88:C88"/>
    <mergeCell ref="B89:C89"/>
    <mergeCell ref="B90:C90"/>
    <mergeCell ref="B82:C82"/>
    <mergeCell ref="B83:C83"/>
    <mergeCell ref="B84:C84"/>
    <mergeCell ref="B85:C85"/>
    <mergeCell ref="B86:C86"/>
    <mergeCell ref="B87:C87"/>
    <mergeCell ref="B71:D71"/>
    <mergeCell ref="B73:C73"/>
    <mergeCell ref="B74:C74"/>
    <mergeCell ref="B75:C75"/>
    <mergeCell ref="B76:C76"/>
    <mergeCell ref="B77:C77"/>
    <mergeCell ref="B78:C78"/>
    <mergeCell ref="B79:C79"/>
    <mergeCell ref="B80:C80"/>
    <mergeCell ref="B81:C81"/>
    <mergeCell ref="A61:D61"/>
    <mergeCell ref="H61:I61"/>
    <mergeCell ref="B64:D64"/>
    <mergeCell ref="B65:D65"/>
    <mergeCell ref="A56:D56"/>
    <mergeCell ref="H56:J56"/>
    <mergeCell ref="A57:D57"/>
    <mergeCell ref="H57:J57"/>
    <mergeCell ref="A59:D59"/>
    <mergeCell ref="H59:I59"/>
    <mergeCell ref="A60:D60"/>
    <mergeCell ref="H60:I60"/>
    <mergeCell ref="A53:D53"/>
    <mergeCell ref="H53:J53"/>
    <mergeCell ref="A54:D54"/>
    <mergeCell ref="H54:J54"/>
    <mergeCell ref="A55:D55"/>
    <mergeCell ref="H55:J55"/>
    <mergeCell ref="A50:D50"/>
    <mergeCell ref="H50:J50"/>
    <mergeCell ref="A51:D51"/>
    <mergeCell ref="H51:J51"/>
    <mergeCell ref="A52:D52"/>
    <mergeCell ref="H52:J52"/>
    <mergeCell ref="A47:D47"/>
    <mergeCell ref="H47:J47"/>
    <mergeCell ref="A48:D48"/>
    <mergeCell ref="H48:J48"/>
    <mergeCell ref="A49:D49"/>
    <mergeCell ref="H49:J49"/>
    <mergeCell ref="A44:D44"/>
    <mergeCell ref="H44:J44"/>
    <mergeCell ref="A45:D45"/>
    <mergeCell ref="H45:J45"/>
    <mergeCell ref="A46:D46"/>
    <mergeCell ref="H46:J46"/>
    <mergeCell ref="H32:J32"/>
    <mergeCell ref="A40:D40"/>
    <mergeCell ref="H40:J40"/>
    <mergeCell ref="H41:J41"/>
    <mergeCell ref="H42:J42"/>
    <mergeCell ref="A33:D33"/>
    <mergeCell ref="H33:J33"/>
    <mergeCell ref="A43:D43"/>
    <mergeCell ref="H43:J43"/>
    <mergeCell ref="A37:D37"/>
    <mergeCell ref="H37:J37"/>
    <mergeCell ref="A38:D38"/>
    <mergeCell ref="H38:J38"/>
    <mergeCell ref="A39:D39"/>
    <mergeCell ref="H39:J39"/>
    <mergeCell ref="A42:D42"/>
    <mergeCell ref="R20:Z75"/>
    <mergeCell ref="R13:R17"/>
    <mergeCell ref="B2:D2"/>
    <mergeCell ref="F2:H2"/>
    <mergeCell ref="I2:M2"/>
    <mergeCell ref="G3:J3"/>
    <mergeCell ref="G4:I4"/>
    <mergeCell ref="K4:L4"/>
    <mergeCell ref="G5:I5"/>
    <mergeCell ref="H6:N6"/>
    <mergeCell ref="G7:I7"/>
    <mergeCell ref="A30:D30"/>
    <mergeCell ref="H30:J30"/>
    <mergeCell ref="A31:D31"/>
    <mergeCell ref="H31:J31"/>
    <mergeCell ref="B29:D29"/>
    <mergeCell ref="H29:J29"/>
    <mergeCell ref="A34:D34"/>
    <mergeCell ref="H34:J34"/>
    <mergeCell ref="G12:O12"/>
    <mergeCell ref="H35:J35"/>
    <mergeCell ref="A36:D36"/>
    <mergeCell ref="H36:J36"/>
    <mergeCell ref="A32:D32"/>
    <mergeCell ref="S7:Z7"/>
    <mergeCell ref="S8:Z8"/>
    <mergeCell ref="S9:Z9"/>
    <mergeCell ref="S10:Z10"/>
    <mergeCell ref="S11:Z11"/>
    <mergeCell ref="S12:Z12"/>
    <mergeCell ref="S13:Z17"/>
    <mergeCell ref="G8:I8"/>
    <mergeCell ref="K8:M8"/>
    <mergeCell ref="G9:I9"/>
    <mergeCell ref="K9:M9"/>
    <mergeCell ref="G10:H10"/>
    <mergeCell ref="K10:M10"/>
    <mergeCell ref="G11:H11"/>
    <mergeCell ref="K11:L11"/>
  </mergeCells>
  <conditionalFormatting sqref="B14">
    <cfRule type="expression" dxfId="122" priority="7">
      <formula>ABS($J$14-6) &gt; 6</formula>
    </cfRule>
  </conditionalFormatting>
  <conditionalFormatting sqref="E2">
    <cfRule type="expression" dxfId="121" priority="5">
      <formula>$E$2&lt;0</formula>
    </cfRule>
  </conditionalFormatting>
  <conditionalFormatting sqref="E15:E17">
    <cfRule type="expression" dxfId="120" priority="1">
      <formula>AND($B$4=0,E15&lt;0)</formula>
    </cfRule>
  </conditionalFormatting>
  <conditionalFormatting sqref="K5 K30:K34 K36:K57 K59:K61 K64:K67 K73:K90">
    <cfRule type="expression" dxfId="119" priority="6">
      <formula>K5&gt;$O$2</formula>
    </cfRule>
  </conditionalFormatting>
  <conditionalFormatting sqref="L57">
    <cfRule type="expression" dxfId="118" priority="2">
      <formula>L57&gt;$O$2</formula>
    </cfRule>
  </conditionalFormatting>
  <conditionalFormatting sqref="L67">
    <cfRule type="expression" dxfId="117" priority="4">
      <formula>L67&lt;0</formula>
    </cfRule>
  </conditionalFormatting>
  <dataValidations count="20">
    <dataValidation type="whole" allowBlank="1" showInputMessage="1" showErrorMessage="1" error="Must be a negative number no less than a 50% of the base hits" sqref="B11" xr:uid="{48F7572F-CE91-4FB3-BEF6-4F06B0DAE12B}">
      <formula1>-J4/2</formula1>
      <formula2>0</formula2>
    </dataValidation>
    <dataValidation type="whole" allowBlank="1" showInputMessage="1" showErrorMessage="1" error="Must be whole number. No more than 50% of slots may be used for Resiliency" sqref="B10" xr:uid="{B190B74D-A52E-4B96-ABA7-7D576706ECF2}">
      <formula1>0</formula1>
      <formula2>E4/2</formula2>
    </dataValidation>
    <dataValidation type="whole" allowBlank="1" showInputMessage="1" showErrorMessage="1" sqref="E11" xr:uid="{6CA18E47-118A-4201-A26F-343D28C9A27D}">
      <formula1>0</formula1>
      <formula2>J4/2</formula2>
    </dataValidation>
    <dataValidation type="list" allowBlank="1" showInputMessage="1" showErrorMessage="1" error="Maximum = 3" sqref="B9" xr:uid="{EC68FD8B-9C45-4DAD-9A24-D9EAEA7D95B4}">
      <formula1>"0,1,2,3"</formula1>
    </dataValidation>
    <dataValidation type="list" allowBlank="1" showInputMessage="1" showErrorMessage="1" sqref="B4" xr:uid="{728D34C8-2FA3-4AEF-92BF-05C3924B4703}">
      <formula1>"0,1,2,3,4,5,6,7,8"</formula1>
    </dataValidation>
    <dataValidation type="list" allowBlank="1" showInputMessage="1" showErrorMessage="1" sqref="O2" xr:uid="{4DB009F8-B932-477A-9500-7CAA43F433B6}">
      <formula1>"7,8,9,10,11,12,13,14,15,16,17,18"</formula1>
    </dataValidation>
    <dataValidation type="whole" allowBlank="1" showInputMessage="1" showErrorMessage="1" error="Max Manipulator Size = Chassis Size +2_x000a_Min Manipulator Size = 0_x000a_Whole Numbers Only" sqref="B19:B26" xr:uid="{5ECC0A47-9FEA-40F5-8C59-49108E071848}">
      <formula1>0</formula1>
      <formula2>$B$4+2</formula2>
    </dataValidation>
    <dataValidation type="list" allowBlank="1" showInputMessage="1" showErrorMessage="1" sqref="B27:B28 B67 B8" xr:uid="{F6CE0F60-10EA-4589-96EE-D7B40485DACA}">
      <formula1>"TRUE,FALSE"</formula1>
    </dataValidation>
    <dataValidation type="list" allowBlank="1" showInputMessage="1" showErrorMessage="1" sqref="B13" xr:uid="{480A32A3-8773-4D0C-A969-302078692BA0}">
      <formula1>"0,1,2,3,4"</formula1>
    </dataValidation>
    <dataValidation type="list" allowBlank="1" showInputMessage="1" showErrorMessage="1" sqref="D73:D90 B66" xr:uid="{B788C6BD-B02E-4278-9D42-3ABDA5C62303}">
      <formula1>"0,1,2,3"</formula1>
    </dataValidation>
    <dataValidation type="list" allowBlank="1" showInputMessage="1" showErrorMessage="1" sqref="B15" xr:uid="{6D40FCEC-2460-45A5-9FA7-1BD42BCE3C8E}">
      <formula1>"FALSE,TRUE"</formula1>
    </dataValidation>
    <dataValidation type="list" allowBlank="1" showInputMessage="1" showErrorMessage="1" sqref="B16" xr:uid="{FC3D31DE-516B-46A0-B329-E6C1F2D19429}">
      <formula1>"No,1X,2X,3X"</formula1>
    </dataValidation>
    <dataValidation type="whole" allowBlank="1" showInputMessage="1" showErrorMessage="1" error="Must be whole number between -6 and +12" sqref="B14" xr:uid="{E915F5F9-15C8-4FDB-8039-F86235585C10}">
      <formula1>-6</formula1>
      <formula2>12</formula2>
    </dataValidation>
    <dataValidation type="whole" allowBlank="1" showInputMessage="1" showErrorMessage="1" sqref="C11:D11" xr:uid="{57B838F8-B8AD-4B2F-88C6-2EC7D26C839B}">
      <formula1>0</formula1>
      <formula2>D4/2</formula2>
    </dataValidation>
    <dataValidation type="whole" allowBlank="1" showInputMessage="1" showErrorMessage="1" sqref="C13:D13" xr:uid="{417F56A8-E078-44E9-A23E-3866C0F2D740}">
      <formula1>0</formula1>
      <formula2>D5/2</formula2>
    </dataValidation>
    <dataValidation type="whole" allowBlank="1" showInputMessage="1" showErrorMessage="1" sqref="C14:D14" xr:uid="{553DA1E1-3005-4B4E-A6A3-8669B8841A0A}">
      <formula1>0</formula1>
      <formula2>D15/2</formula2>
    </dataValidation>
    <dataValidation type="whole" allowBlank="1" showInputMessage="1" showErrorMessage="1" sqref="E13:E14" xr:uid="{C6B4F37E-F292-4272-8DE7-6CDA8C551D5D}">
      <formula1>0</formula1>
      <formula2>#REF!/2</formula2>
    </dataValidation>
    <dataValidation type="whole" allowBlank="1" showInputMessage="1" showErrorMessage="1" error="Max STR = Lesser of Size + TL or SIZE X 4" sqref="G19:G28" xr:uid="{F6D9FAF1-0DE3-4702-A41B-07C679FE57C2}">
      <formula1>0</formula1>
      <formula2>F19-C19</formula2>
    </dataValidation>
    <dataValidation type="whole" allowBlank="1" showInputMessage="1" showErrorMessage="1" error="Max DEX = TL+3" sqref="K19:K28" xr:uid="{99B4BCA2-7FBF-4343-9F38-348A599A96B5}">
      <formula1>0</formula1>
      <formula2>J19-D19</formula2>
    </dataValidation>
    <dataValidation type="whole" allowBlank="1" showInputMessage="1" showErrorMessage="1" error="Total Armour cannot exceed Maximum" sqref="B7" xr:uid="{873597AE-6A15-4B14-9088-C423D0A10044}">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EE7FBC4C-48F5-4AF6-9FD2-47394E8E93CC}">
          <x14:formula1>
            <xm:f>Options!$C$9:$C$71</xm:f>
          </x14:formula1>
          <xm:sqref>A30:A34</xm:sqref>
        </x14:dataValidation>
        <x14:dataValidation type="list" allowBlank="1" showInputMessage="1" showErrorMessage="1" xr:uid="{1175B1A3-A6F0-4930-8876-0CC73F610F9E}">
          <x14:formula1>
            <xm:f>Packages!$B$29:$B$82</xm:f>
          </x14:formula1>
          <xm:sqref>A73:A90</xm:sqref>
        </x14:dataValidation>
        <x14:dataValidation type="list" allowBlank="1" showInputMessage="1" showErrorMessage="1" xr:uid="{83BC95C6-9422-4DE1-AE10-C1229EFC4682}">
          <x14:formula1>
            <xm:f>Chassis!$H$3:$H$13</xm:f>
          </x14:formula1>
          <xm:sqref>B17 B5</xm:sqref>
        </x14:dataValidation>
        <x14:dataValidation type="list" allowBlank="1" showInputMessage="1" showErrorMessage="1" xr:uid="{D1AFA40B-C42D-4938-970C-F3F9603EC7E0}">
          <x14:formula1>
            <xm:f>Packages!$B$11:$B$19</xm:f>
          </x14:formula1>
          <xm:sqref>B70</xm:sqref>
        </x14:dataValidation>
        <x14:dataValidation type="list" allowBlank="1" showInputMessage="1" showErrorMessage="1" xr:uid="{ABC5BF48-E99F-49C8-A3DE-2B7FB5F7F19E}">
          <x14:formula1>
            <xm:f>Brains!$B$3:$B$19</xm:f>
          </x14:formula1>
          <xm:sqref>B64</xm:sqref>
        </x14:dataValidation>
        <x14:dataValidation type="list" allowBlank="1" showInputMessage="1" showErrorMessage="1" xr:uid="{56809DF7-65A1-4314-A6F5-05114C10944F}">
          <x14:formula1>
            <xm:f>Packages!$B$3:$B$7</xm:f>
          </x14:formula1>
          <xm:sqref>B69</xm:sqref>
        </x14:dataValidation>
        <x14:dataValidation type="list" allowBlank="1" showInputMessage="1" showErrorMessage="1" xr:uid="{91FD25D0-0B9B-4547-948F-12C0DB1E20AF}">
          <x14:formula1>
            <xm:f>Packages!$B$23:$B$25</xm:f>
          </x14:formula1>
          <xm:sqref>B71</xm:sqref>
        </x14:dataValidation>
        <x14:dataValidation type="list" allowBlank="1" showInputMessage="1" showErrorMessage="1" xr:uid="{36F7DAA5-B3EF-47C7-A68F-6BCCD3B15D18}">
          <x14:formula1>
            <xm:f>Brains!$K$3:$K$16</xm:f>
          </x14:formula1>
          <xm:sqref>B65</xm:sqref>
        </x14:dataValidation>
        <x14:dataValidation type="list" allowBlank="1" showInputMessage="1" showErrorMessage="1" xr:uid="{59686155-57C1-4060-AB3D-4054FCC2F96D}">
          <x14:formula1>
            <xm:f>Options!$C$9:$C$256</xm:f>
          </x14:formula1>
          <xm:sqref>A36:A56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326-787B-4870-A95A-A2560F64334C}">
  <sheetPr>
    <tabColor rgb="FF92D050"/>
  </sheetPr>
  <dimension ref="A1:Z92"/>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840</v>
      </c>
      <c r="C2" s="204"/>
      <c r="D2" s="205"/>
      <c r="E2" s="36">
        <f>SUM(E5:E90)+E4</f>
        <v>0</v>
      </c>
      <c r="F2" s="206" t="s">
        <v>184</v>
      </c>
      <c r="G2" s="207"/>
      <c r="H2" s="208"/>
      <c r="I2" s="203" t="s">
        <v>776</v>
      </c>
      <c r="J2" s="204"/>
      <c r="K2" s="204"/>
      <c r="L2" s="204"/>
      <c r="M2" s="204"/>
      <c r="N2" s="79" t="s">
        <v>315</v>
      </c>
      <c r="O2" s="37">
        <v>12</v>
      </c>
      <c r="P2" s="151">
        <f>Z6</f>
        <v>139400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20</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Improved AutoBerth Cluster</v>
      </c>
      <c r="S6" s="144">
        <f>M11</f>
        <v>72</v>
      </c>
      <c r="T6" s="144" t="str">
        <f>B5</f>
        <v>None</v>
      </c>
      <c r="U6" s="144" t="str">
        <f>_xlfn.CONCAT(J14," m")</f>
        <v>0 m</v>
      </c>
      <c r="V6" s="145">
        <f>O2</f>
        <v>12</v>
      </c>
      <c r="W6" s="150">
        <f>P91</f>
        <v>154900</v>
      </c>
      <c r="X6" s="152">
        <f>IF(I2="Standard Design",0.1,0)</f>
        <v>0.1</v>
      </c>
      <c r="Y6" s="153">
        <v>2</v>
      </c>
      <c r="Z6" s="148">
        <f>FLOOR(P91*(1-X6),100)</f>
        <v>139400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3,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648</v>
      </c>
      <c r="K9" s="177" t="s">
        <v>64</v>
      </c>
      <c r="L9" s="178"/>
      <c r="M9" s="179"/>
      <c r="O9" s="5" t="str">
        <f>IF(B9&gt;0,_xlfn.CONCAT("Athletics (endurance) ",B9,", "),"")</f>
        <v/>
      </c>
      <c r="P9" s="137">
        <f>-500*E9</f>
        <v>0</v>
      </c>
      <c r="R9" s="116" t="s">
        <v>49</v>
      </c>
      <c r="S9" s="162" t="str">
        <f>IF(COUNT(B19:B26)=0,"none",_xlfn.CONCAT(COUNT(B19:B26), " X (STR ",H19," DEX ",L19,")"))</f>
        <v>3 X (STR 5 DEX 7)</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648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Medical Chamber, Medical Chamber Option: Low berth (improved), Medikit (enhanced), Storage Compartment (refrigerated),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648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7</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15</v>
      </c>
      <c r="K19" s="16">
        <v>0</v>
      </c>
      <c r="L19" s="61">
        <f t="shared" ref="L19:L28" si="5">D19+K19</f>
        <v>7</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7</v>
      </c>
      <c r="E20" s="101" cm="1">
        <f t="array" ref="E20">ROUNDUP(_xlfn.IFS($B$4-B20=0,0,$B$4-B20=1,$E$4*0.05,$B$4-B20=2,$E$4*0.08,$B$4-B20=3,$E$4*0.09,$B$4-B20&gt;3,$E$4*0.1,$B$4-B20&lt;0,$E$4*0.1*($B$4-B20)),0)</f>
        <v>13</v>
      </c>
      <c r="F20" s="54">
        <f t="shared" si="1"/>
        <v>10</v>
      </c>
      <c r="G20" s="16"/>
      <c r="H20" s="6">
        <f t="shared" si="2"/>
        <v>5</v>
      </c>
      <c r="I20" s="21">
        <f t="shared" si="3"/>
        <v>-1</v>
      </c>
      <c r="J20" s="54">
        <f t="shared" si="4"/>
        <v>15</v>
      </c>
      <c r="K20" s="16"/>
      <c r="L20" s="6">
        <f t="shared" si="5"/>
        <v>7</v>
      </c>
      <c r="M20" s="21">
        <f t="shared" si="6"/>
        <v>0</v>
      </c>
      <c r="O20" s="5" t="str">
        <f t="shared" si="7"/>
        <v/>
      </c>
      <c r="P20" s="137">
        <f>IF((B20-$B$4)*100&gt;-0.2*$P$5,(B20-$B$4)*100,-0.2*$P$5)+B20*100*(G20)^2+B20*200*(K20)^2</f>
        <v>-500</v>
      </c>
      <c r="R20" s="232" t="s">
        <v>846</v>
      </c>
      <c r="S20" s="189"/>
      <c r="T20" s="189"/>
      <c r="U20" s="189"/>
      <c r="V20" s="189"/>
      <c r="W20" s="189"/>
      <c r="X20" s="189"/>
      <c r="Y20" s="189"/>
      <c r="Z20" s="190"/>
    </row>
    <row r="21" spans="1:26" ht="12" customHeight="1" x14ac:dyDescent="0.35">
      <c r="A21" s="93" t="s">
        <v>52</v>
      </c>
      <c r="B21" s="30">
        <v>3</v>
      </c>
      <c r="C21" s="6">
        <f t="shared" si="0"/>
        <v>5</v>
      </c>
      <c r="D21" s="97">
        <f t="shared" si="8"/>
        <v>7</v>
      </c>
      <c r="E21" s="101" cm="1">
        <f t="array" ref="E21">IF(B21=0,0,ROUNDUP(_xlfn.IFS($B$4-B21=0,-$E$4*0.1,$B$4-B21=1,-$E$4*0.05,$B$4-B21=2,-$E$4*0.02,$B$4-B21=3,-$E$4*0.01,$B$4-B21&gt;3,-$E$4*0.01,$B$4-B21&lt;0,$E$4*0.2*($B$4-B21)),0))</f>
        <v>-2</v>
      </c>
      <c r="F21" s="54">
        <f t="shared" si="1"/>
        <v>10</v>
      </c>
      <c r="G21" s="16"/>
      <c r="H21" s="6">
        <f t="shared" si="2"/>
        <v>5</v>
      </c>
      <c r="I21" s="21">
        <f t="shared" si="3"/>
        <v>-1</v>
      </c>
      <c r="J21" s="54">
        <f t="shared" si="4"/>
        <v>15</v>
      </c>
      <c r="K21" s="16"/>
      <c r="L21" s="6">
        <f t="shared" si="5"/>
        <v>7</v>
      </c>
      <c r="M21" s="21">
        <f t="shared" si="6"/>
        <v>0</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15</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15</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15</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15</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15</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15</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15</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-50</v>
      </c>
      <c r="F38" s="38">
        <f>IF(_xlfn.XLOOKUP(A38,OptionsTable[Name],OptionsTable[xS],,,)=FALSE,1,IF($B$4&gt;0,$E$4,1))</f>
        <v>1</v>
      </c>
      <c r="G38" s="58">
        <v>50</v>
      </c>
      <c r="H38" s="199" t="str">
        <f>IF(_xlfn.XLOOKUP(A38,OptionsTable[Name],OptionsTable[Notes],,,)="","",_xlfn.XLOOKUP(A38,OptionsTable[Name],OptionsTable[Notes],,,))</f>
        <v>DM+1 to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10000</v>
      </c>
      <c r="R38" s="191"/>
      <c r="S38" s="192"/>
      <c r="T38" s="192"/>
      <c r="U38" s="192"/>
      <c r="V38" s="192"/>
      <c r="W38" s="192"/>
      <c r="X38" s="192"/>
      <c r="Y38" s="192"/>
      <c r="Z38" s="193"/>
    </row>
    <row r="39" spans="1:26" ht="12" customHeight="1" x14ac:dyDescent="0.35">
      <c r="A39" s="197" t="s">
        <v>240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-50</v>
      </c>
      <c r="F39" s="38">
        <f>IF(_xlfn.XLOOKUP(A39,OptionsTable[Name],OptionsTable[xS],,,)=FALSE,1,IF($B$4&gt;0,$E$4,1))</f>
        <v>1</v>
      </c>
      <c r="G39" s="58">
        <v>50</v>
      </c>
      <c r="H39" s="199" t="str">
        <f>IF(_xlfn.XLOOKUP(A39,OptionsTable[Name],OptionsTable[Notes],,,)="","",_xlfn.XLOOKUP(A39,OptionsTable[Name],OptionsTable[Notes],,,))</f>
        <v>DM+1 to Max skill</v>
      </c>
      <c r="I39" s="200"/>
      <c r="J39" s="200"/>
      <c r="K39" s="44">
        <f>_xlfn.XLOOKUP(A39,OptionsTable[Name],OptionsTable[TL],,,)</f>
        <v>8</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560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-24</v>
      </c>
      <c r="F40" s="38">
        <f>IF(_xlfn.XLOOKUP(A40,OptionsTable[Name],OptionsTable[xS],,,)=FALSE,1,IF($B$4&gt;0,$E$4,1))</f>
        <v>1</v>
      </c>
      <c r="G40" s="58">
        <v>3</v>
      </c>
      <c r="H40" s="199" t="str">
        <f>IF(_xlfn.XLOOKUP(A40,OptionsTable[Name],OptionsTable[Notes],,,)="","",_xlfn.XLOOKUP(A40,OptionsTable[Name],OptionsTable[Notes],,,))</f>
        <v>DM+1 to revival</v>
      </c>
      <c r="I40" s="200"/>
      <c r="J40" s="200"/>
      <c r="K40" s="44">
        <f>_xlfn.XLOOKUP(A40,OptionsTable[Name],OptionsTable[TL],,,)</f>
        <v>12</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60000</v>
      </c>
      <c r="R40" s="191"/>
      <c r="S40" s="192"/>
      <c r="T40" s="192"/>
      <c r="U40" s="192"/>
      <c r="V40" s="192"/>
      <c r="W40" s="192"/>
      <c r="X40" s="192"/>
      <c r="Y40" s="192"/>
      <c r="Z40" s="193"/>
    </row>
    <row r="41" spans="1:26" ht="12" customHeight="1" x14ac:dyDescent="0.35">
      <c r="A41" s="197" t="s">
        <v>202</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-1</v>
      </c>
      <c r="F41" s="38">
        <f>IF(_xlfn.XLOOKUP(A41,OptionsTable[Name],OptionsTable[xS],,,)=FALSE,1,IF($B$4&gt;0,$E$4,1))</f>
        <v>1</v>
      </c>
      <c r="G41" s="58"/>
      <c r="H41" s="199" t="str">
        <f>IF(_xlfn.XLOOKUP(A41,OptionsTable[Name],OptionsTable[Notes],,,)="","",_xlfn.XLOOKUP(A41,OptionsTable[Name],OptionsTable[Notes],,,))</f>
        <v>2 max skill</v>
      </c>
      <c r="I41" s="200"/>
      <c r="J41" s="200"/>
      <c r="K41" s="44">
        <f>_xlfn.XLOOKUP(A41,OptionsTable[Name],OptionsTable[TL],,,)</f>
        <v>12</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5000</v>
      </c>
      <c r="R41" s="191"/>
      <c r="S41" s="192"/>
      <c r="T41" s="192"/>
      <c r="U41" s="192"/>
      <c r="V41" s="192"/>
      <c r="W41" s="192"/>
      <c r="X41" s="192"/>
      <c r="Y41" s="192"/>
      <c r="Z41" s="193"/>
    </row>
    <row r="42" spans="1:26" ht="12" customHeight="1" x14ac:dyDescent="0.35">
      <c r="A42" s="30" t="s">
        <v>190</v>
      </c>
      <c r="B42" s="157"/>
      <c r="C42" s="157"/>
      <c r="D42" s="157"/>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-6</v>
      </c>
      <c r="F42" s="38">
        <f>IF(_xlfn.XLOOKUP(A42,OptionsTable[Name],OptionsTable[xS],,,)=FALSE,1,IF($B$4&gt;0,$E$4,1))</f>
        <v>1</v>
      </c>
      <c r="G42" s="58">
        <v>6</v>
      </c>
      <c r="H42" s="199" t="str">
        <f>IF(_xlfn.XLOOKUP(A42,OptionsTable[Name],OptionsTable[Notes],,,)="","",_xlfn.XLOOKUP(A42,OptionsTable[Name],OptionsTable[Notes],,,))</f>
        <v>2 kg or litres / slot</v>
      </c>
      <c r="I42" s="200"/>
      <c r="J42" s="200"/>
      <c r="K42" s="44">
        <f>_xlfn.XLOOKUP(A42,OptionsTable[Name],OptionsTable[TL],,,)</f>
        <v>6</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600</v>
      </c>
      <c r="R42" s="191"/>
      <c r="S42" s="192"/>
      <c r="T42" s="192"/>
      <c r="U42" s="192"/>
      <c r="V42" s="192"/>
      <c r="W42" s="192"/>
      <c r="X42" s="192"/>
      <c r="Y42" s="192"/>
      <c r="Z42" s="193"/>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220"/>
      <c r="B56" s="221"/>
      <c r="C56" s="221"/>
      <c r="D56" s="22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156</v>
      </c>
      <c r="C65" s="198"/>
      <c r="D65" s="198"/>
      <c r="E65" s="40">
        <f>-_xlfn.XLOOKUP(B65,Bandwidth[Minimum Base Brain],Bandwidth[Slots],,,)</f>
        <v>-1</v>
      </c>
      <c r="F65" s="38"/>
      <c r="K65" s="44">
        <f>_xlfn.XLOOKUP(B65,Bandwidth[Minimum Base Brain],Bandwidth[TL],,,)</f>
        <v>10</v>
      </c>
      <c r="L65">
        <f>_xlfn.XLOOKUP(B65,Bandwidth[Minimum Base Brain],Bandwidth[Bandwidth],,,)+L64</f>
        <v>4</v>
      </c>
      <c r="M65" t="s">
        <v>310</v>
      </c>
      <c r="P65" s="137">
        <f>_xlfn.XLOOKUP(B65,Bandwidth[Minimum Base Brain],Bandwidth[Cost],,,)</f>
        <v>5000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9</v>
      </c>
      <c r="I66" s="15">
        <f>IF(H66&gt;17,4,IF(H66&gt;14,3,IF(H66&gt;11,2,IF(H66&gt;8,1,IF(H66&gt;5,0,IF(H66&gt;2,-1,-2))))))</f>
        <v>1</v>
      </c>
      <c r="K66" s="44"/>
      <c r="L66" s="56">
        <f>L65+F66</f>
        <v>3</v>
      </c>
      <c r="M66" t="s">
        <v>310</v>
      </c>
      <c r="P66" s="137" cm="1">
        <f t="array" ref="P66">_xlfn.IFS(B66=0,0,B66=1,(H64+1)*1000,B66=2,(H64+1)*(H64+2)*1000,B66=3,(H64+1)*(H64+2)*(H64+3)*1000)*IF(H66&gt;11,2,1)</f>
        <v>9000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3,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154900</v>
      </c>
    </row>
    <row r="92" spans="1:16" ht="12" customHeight="1" thickBot="1" x14ac:dyDescent="0.45">
      <c r="A92" s="110"/>
      <c r="B92" s="112"/>
      <c r="O92" s="149" t="str">
        <f>CONCATENATE("Cost With "&amp;X6*100 &amp; "% Discount")</f>
        <v>Cost With 10% Discount</v>
      </c>
      <c r="P92" s="147">
        <f>P2</f>
        <v>139400</v>
      </c>
    </row>
  </sheetData>
  <dataConsolidate/>
  <mergeCells count="112">
    <mergeCell ref="A49:D49"/>
    <mergeCell ref="H49:J49"/>
    <mergeCell ref="A50:D50"/>
    <mergeCell ref="H50:J50"/>
    <mergeCell ref="A51:D51"/>
    <mergeCell ref="H51:J51"/>
    <mergeCell ref="A46:D46"/>
    <mergeCell ref="H46:J46"/>
    <mergeCell ref="A47:D47"/>
    <mergeCell ref="H47:J47"/>
    <mergeCell ref="A48:D48"/>
    <mergeCell ref="H48:J48"/>
    <mergeCell ref="A55:D55"/>
    <mergeCell ref="H55:J55"/>
    <mergeCell ref="A56:D56"/>
    <mergeCell ref="H56:J56"/>
    <mergeCell ref="A57:D57"/>
    <mergeCell ref="H57:J57"/>
    <mergeCell ref="A52:D52"/>
    <mergeCell ref="H52:J52"/>
    <mergeCell ref="A53:D53"/>
    <mergeCell ref="H53:J53"/>
    <mergeCell ref="A54:D54"/>
    <mergeCell ref="H54:J54"/>
    <mergeCell ref="B64:D64"/>
    <mergeCell ref="B65:D65"/>
    <mergeCell ref="B69:D69"/>
    <mergeCell ref="B70:D70"/>
    <mergeCell ref="B71:D71"/>
    <mergeCell ref="B73:C73"/>
    <mergeCell ref="A59:D59"/>
    <mergeCell ref="H59:I59"/>
    <mergeCell ref="A60:D60"/>
    <mergeCell ref="H60:I60"/>
    <mergeCell ref="A61:D61"/>
    <mergeCell ref="H61:I61"/>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86:C86"/>
    <mergeCell ref="B87:C87"/>
    <mergeCell ref="B88:C88"/>
    <mergeCell ref="A43:D43"/>
    <mergeCell ref="H43:J43"/>
    <mergeCell ref="A44:D44"/>
    <mergeCell ref="H44:J44"/>
    <mergeCell ref="A45:D45"/>
    <mergeCell ref="H45:J45"/>
    <mergeCell ref="A40:D40"/>
    <mergeCell ref="H40:J40"/>
    <mergeCell ref="A41:D41"/>
    <mergeCell ref="H41:J41"/>
    <mergeCell ref="H42:J42"/>
    <mergeCell ref="A37:D37"/>
    <mergeCell ref="H37:J37"/>
    <mergeCell ref="A38:D38"/>
    <mergeCell ref="H38:J38"/>
    <mergeCell ref="A39:D39"/>
    <mergeCell ref="H39:J39"/>
    <mergeCell ref="A33:D33"/>
    <mergeCell ref="H33:J33"/>
    <mergeCell ref="A34:D34"/>
    <mergeCell ref="H34:J34"/>
    <mergeCell ref="H35:J35"/>
    <mergeCell ref="A36:D36"/>
    <mergeCell ref="H36:J36"/>
    <mergeCell ref="A30:D30"/>
    <mergeCell ref="H30:J30"/>
    <mergeCell ref="A31:D31"/>
    <mergeCell ref="H31:J31"/>
    <mergeCell ref="A32:D32"/>
    <mergeCell ref="H32:J32"/>
    <mergeCell ref="G10:H10"/>
    <mergeCell ref="K10:M10"/>
    <mergeCell ref="G11:H11"/>
    <mergeCell ref="K11:L11"/>
    <mergeCell ref="G12:O12"/>
    <mergeCell ref="B29:D29"/>
    <mergeCell ref="H29:J29"/>
    <mergeCell ref="G5:I5"/>
    <mergeCell ref="H6:N6"/>
    <mergeCell ref="G7:I7"/>
    <mergeCell ref="G8:I8"/>
    <mergeCell ref="K8:M8"/>
    <mergeCell ref="G9:I9"/>
    <mergeCell ref="K9:M9"/>
    <mergeCell ref="B2:D2"/>
    <mergeCell ref="F2:H2"/>
    <mergeCell ref="I2:M2"/>
    <mergeCell ref="G3:J3"/>
    <mergeCell ref="G4:I4"/>
    <mergeCell ref="K4:L4"/>
    <mergeCell ref="R20:Z75"/>
    <mergeCell ref="R13:R17"/>
    <mergeCell ref="S7:Z7"/>
    <mergeCell ref="S8:Z8"/>
    <mergeCell ref="S9:Z9"/>
    <mergeCell ref="S10:Z10"/>
    <mergeCell ref="S11:Z11"/>
    <mergeCell ref="S12:Z12"/>
    <mergeCell ref="S13:Z17"/>
  </mergeCells>
  <conditionalFormatting sqref="B14">
    <cfRule type="expression" dxfId="116" priority="7">
      <formula>ABS($J$14-6) &gt; 6</formula>
    </cfRule>
  </conditionalFormatting>
  <conditionalFormatting sqref="E2">
    <cfRule type="expression" dxfId="115" priority="5">
      <formula>$E$2&lt;0</formula>
    </cfRule>
  </conditionalFormatting>
  <conditionalFormatting sqref="E15:E17">
    <cfRule type="expression" dxfId="114" priority="1">
      <formula>AND($B$4=0,E15&lt;0)</formula>
    </cfRule>
  </conditionalFormatting>
  <conditionalFormatting sqref="K5 K30:K34 K59:K61 K64:K67 K73:K90">
    <cfRule type="expression" dxfId="113" priority="6">
      <formula>K5&gt;$O$2</formula>
    </cfRule>
  </conditionalFormatting>
  <conditionalFormatting sqref="K36:K57">
    <cfRule type="expression" dxfId="112" priority="3">
      <formula>K36&gt;$O$2</formula>
    </cfRule>
  </conditionalFormatting>
  <conditionalFormatting sqref="L57">
    <cfRule type="expression" dxfId="111" priority="2">
      <formula>L57&gt;$O$2</formula>
    </cfRule>
  </conditionalFormatting>
  <conditionalFormatting sqref="L67">
    <cfRule type="expression" dxfId="110" priority="4">
      <formula>L67&lt;0</formula>
    </cfRule>
  </conditionalFormatting>
  <dataValidations count="20">
    <dataValidation type="whole" allowBlank="1" showInputMessage="1" showErrorMessage="1" error="Total Armour cannot exceed Maximum" sqref="B7" xr:uid="{AD87159E-ADB5-4E2C-B20F-92AB9804BFAF}">
      <formula1>-1</formula1>
      <formula2>L7-MID(A7,18,1)</formula2>
    </dataValidation>
    <dataValidation type="whole" allowBlank="1" showInputMessage="1" showErrorMessage="1" error="Max DEX = TL+3" sqref="K19:K28" xr:uid="{9833CA2D-E626-410A-937C-D9DC12CAEE9D}">
      <formula1>0</formula1>
      <formula2>J19-D19</formula2>
    </dataValidation>
    <dataValidation type="whole" allowBlank="1" showInputMessage="1" showErrorMessage="1" error="Max STR = Lesser of Size + TL or SIZE X 4" sqref="G19:G28" xr:uid="{EC5A1EEE-040D-45B2-A548-3864050DE199}">
      <formula1>0</formula1>
      <formula2>F19-C19</formula2>
    </dataValidation>
    <dataValidation type="whole" allowBlank="1" showInputMessage="1" showErrorMessage="1" sqref="E13:E14" xr:uid="{E350AC17-0246-446E-AA92-57D1CE6FA783}">
      <formula1>0</formula1>
      <formula2>#REF!/2</formula2>
    </dataValidation>
    <dataValidation type="whole" allowBlank="1" showInputMessage="1" showErrorMessage="1" sqref="C14:D14" xr:uid="{B4F96923-C618-4A5F-B3E9-6D4A72AD6A35}">
      <formula1>0</formula1>
      <formula2>D15/2</formula2>
    </dataValidation>
    <dataValidation type="whole" allowBlank="1" showInputMessage="1" showErrorMessage="1" sqref="C13:D13" xr:uid="{1836DE34-6357-4C32-B6C1-51A6B8E834C8}">
      <formula1>0</formula1>
      <formula2>D5/2</formula2>
    </dataValidation>
    <dataValidation type="whole" allowBlank="1" showInputMessage="1" showErrorMessage="1" sqref="C11:D11" xr:uid="{1C236CAF-56C8-4B59-A8BD-B7FE550E1464}">
      <formula1>0</formula1>
      <formula2>D4/2</formula2>
    </dataValidation>
    <dataValidation type="whole" allowBlank="1" showInputMessage="1" showErrorMessage="1" error="Must be whole number between -6 and +12" sqref="B14" xr:uid="{FD2E986A-4AD5-48B9-8D38-542A53D37D15}">
      <formula1>-6</formula1>
      <formula2>12</formula2>
    </dataValidation>
    <dataValidation type="list" allowBlank="1" showInputMessage="1" showErrorMessage="1" sqref="B16" xr:uid="{01EC0E00-A1C1-4DB2-8E16-5394198B978F}">
      <formula1>"No,1X,2X,3X"</formula1>
    </dataValidation>
    <dataValidation type="list" allowBlank="1" showInputMessage="1" showErrorMessage="1" sqref="B15" xr:uid="{A24E8EE6-006C-43A5-B07E-E314E46262D8}">
      <formula1>"FALSE,TRUE"</formula1>
    </dataValidation>
    <dataValidation type="list" allowBlank="1" showInputMessage="1" showErrorMessage="1" sqref="D73:D90 B66" xr:uid="{1C8CDCD1-3729-4E2B-BBFE-C96F6CC88067}">
      <formula1>"0,1,2,3"</formula1>
    </dataValidation>
    <dataValidation type="list" allowBlank="1" showInputMessage="1" showErrorMessage="1" sqref="B13" xr:uid="{882025E8-73E1-4DAF-BABA-10FE7E6E84A8}">
      <formula1>"0,1,2,3,4"</formula1>
    </dataValidation>
    <dataValidation type="list" allowBlank="1" showInputMessage="1" showErrorMessage="1" sqref="B27:B28 B67 B8" xr:uid="{D4CA30F9-F615-41D7-AEBB-C85D8E271871}">
      <formula1>"TRUE,FALSE"</formula1>
    </dataValidation>
    <dataValidation type="whole" allowBlank="1" showInputMessage="1" showErrorMessage="1" error="Max Manipulator Size = Chassis Size +2_x000a_Min Manipulator Size = 0_x000a_Whole Numbers Only" sqref="B19:B26" xr:uid="{6EB43127-47CA-43BF-A595-99590F5355B5}">
      <formula1>0</formula1>
      <formula2>$B$4+2</formula2>
    </dataValidation>
    <dataValidation type="list" allowBlank="1" showInputMessage="1" showErrorMessage="1" sqref="O2" xr:uid="{543FDAE6-0F9D-4A48-AC27-E9267C194B83}">
      <formula1>"7,8,9,10,11,12,13,14,15,16,17,18"</formula1>
    </dataValidation>
    <dataValidation type="list" allowBlank="1" showInputMessage="1" showErrorMessage="1" sqref="B4" xr:uid="{8C9E5E2D-3445-4F7D-A335-67F03EAD01C1}">
      <formula1>"0,1,2,3,4,5,6,7,8"</formula1>
    </dataValidation>
    <dataValidation type="list" allowBlank="1" showInputMessage="1" showErrorMessage="1" error="Maximum = 3" sqref="B9" xr:uid="{6F151ABE-EC33-402F-9646-95F221256211}">
      <formula1>"0,1,2,3"</formula1>
    </dataValidation>
    <dataValidation type="whole" allowBlank="1" showInputMessage="1" showErrorMessage="1" sqref="E11" xr:uid="{A808A661-7DE8-42D0-AAB5-B184BB33D97C}">
      <formula1>0</formula1>
      <formula2>J4/2</formula2>
    </dataValidation>
    <dataValidation type="whole" allowBlank="1" showInputMessage="1" showErrorMessage="1" error="Must be whole number. No more than 50% of slots may be used for Resiliency" sqref="B10" xr:uid="{59E8F157-AA51-420E-9222-097282F65281}">
      <formula1>0</formula1>
      <formula2>E4/2</formula2>
    </dataValidation>
    <dataValidation type="whole" allowBlank="1" showInputMessage="1" showErrorMessage="1" error="Must be a negative number no less than a 50% of the base hits" sqref="B11" xr:uid="{EAF9E8D3-6911-4B02-BD32-FF86CC0CB9E5}">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ED220AEB-3911-4F81-8B31-630EE1960A0F}">
          <x14:formula1>
            <xm:f>Options!$C$9:$C$71</xm:f>
          </x14:formula1>
          <xm:sqref>A30:A34</xm:sqref>
        </x14:dataValidation>
        <x14:dataValidation type="list" allowBlank="1" showInputMessage="1" showErrorMessage="1" xr:uid="{776DE6C8-FC3C-4C27-8A56-6DEC97E78760}">
          <x14:formula1>
            <xm:f>Packages!$B$29:$B$82</xm:f>
          </x14:formula1>
          <xm:sqref>A73:A90</xm:sqref>
        </x14:dataValidation>
        <x14:dataValidation type="list" allowBlank="1" showInputMessage="1" showErrorMessage="1" xr:uid="{79241B3F-1148-4BE4-8AB1-3AD4DDB7D31C}">
          <x14:formula1>
            <xm:f>Brains!$K$3:$K$16</xm:f>
          </x14:formula1>
          <xm:sqref>B65</xm:sqref>
        </x14:dataValidation>
        <x14:dataValidation type="list" allowBlank="1" showInputMessage="1" showErrorMessage="1" xr:uid="{D72E7104-8B4A-471E-B1B3-FAFE7EFDA6C7}">
          <x14:formula1>
            <xm:f>Packages!$B$23:$B$25</xm:f>
          </x14:formula1>
          <xm:sqref>B71</xm:sqref>
        </x14:dataValidation>
        <x14:dataValidation type="list" allowBlank="1" showInputMessage="1" showErrorMessage="1" xr:uid="{91DB86E5-DDBB-48F2-93C1-0DEF5AC31F84}">
          <x14:formula1>
            <xm:f>Packages!$B$3:$B$7</xm:f>
          </x14:formula1>
          <xm:sqref>B69</xm:sqref>
        </x14:dataValidation>
        <x14:dataValidation type="list" allowBlank="1" showInputMessage="1" showErrorMessage="1" xr:uid="{EDE14C16-6875-4115-B65D-3D3E34BC8D97}">
          <x14:formula1>
            <xm:f>Brains!$B$3:$B$19</xm:f>
          </x14:formula1>
          <xm:sqref>B64</xm:sqref>
        </x14:dataValidation>
        <x14:dataValidation type="list" allowBlank="1" showInputMessage="1" showErrorMessage="1" xr:uid="{7EAC6940-3055-4783-86BF-C3EBA189FD0B}">
          <x14:formula1>
            <xm:f>Packages!$B$11:$B$19</xm:f>
          </x14:formula1>
          <xm:sqref>B70</xm:sqref>
        </x14:dataValidation>
        <x14:dataValidation type="list" allowBlank="1" showInputMessage="1" showErrorMessage="1" xr:uid="{3BF7A035-BAE1-46B5-AF53-70059DC550B7}">
          <x14:formula1>
            <xm:f>Chassis!$H$3:$H$13</xm:f>
          </x14:formula1>
          <xm:sqref>B17 B5</xm:sqref>
        </x14:dataValidation>
        <x14:dataValidation type="list" allowBlank="1" showInputMessage="1" showErrorMessage="1" xr:uid="{77884655-2BF1-4B69-AD68-78EB48C2A4E5}">
          <x14:formula1>
            <xm:f>Options!$C$9:$C$256</xm:f>
          </x14:formula1>
          <xm:sqref>A36:A56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3187-FE14-4FE8-946D-49397ECBBF9C}">
  <sheetPr>
    <tabColor rgb="FF92D050"/>
  </sheetPr>
  <dimension ref="A1:Z96"/>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841</v>
      </c>
      <c r="C2" s="204"/>
      <c r="D2" s="205"/>
      <c r="E2" s="36">
        <f>SUM(E5:E90)+E4</f>
        <v>0</v>
      </c>
      <c r="F2" s="206" t="s">
        <v>184</v>
      </c>
      <c r="G2" s="207"/>
      <c r="H2" s="208"/>
      <c r="I2" s="203" t="s">
        <v>776</v>
      </c>
      <c r="J2" s="204"/>
      <c r="K2" s="204"/>
      <c r="L2" s="204"/>
      <c r="M2" s="204"/>
      <c r="N2" s="79" t="s">
        <v>315</v>
      </c>
      <c r="O2" s="37">
        <v>14</v>
      </c>
      <c r="P2" s="151">
        <f>Z6</f>
        <v>143900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22</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Enhanced AutoBerth Cluster</v>
      </c>
      <c r="S6" s="144">
        <f>M11</f>
        <v>72</v>
      </c>
      <c r="T6" s="144" t="str">
        <f>B5</f>
        <v>None</v>
      </c>
      <c r="U6" s="144" t="str">
        <f>_xlfn.CONCAT(J14," m")</f>
        <v>0 m</v>
      </c>
      <c r="V6" s="145">
        <f>O2</f>
        <v>14</v>
      </c>
      <c r="W6" s="150">
        <f>P91</f>
        <v>159900</v>
      </c>
      <c r="X6" s="152">
        <f>IF(I2="Standard Design",0.1,0)</f>
        <v>0.1</v>
      </c>
      <c r="Y6" s="153">
        <v>2</v>
      </c>
      <c r="Z6" s="148">
        <f>FLOOR(P91*(1-X6),100)</f>
        <v>143900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3,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648</v>
      </c>
      <c r="K9" s="177" t="s">
        <v>64</v>
      </c>
      <c r="L9" s="178"/>
      <c r="M9" s="179"/>
      <c r="O9" s="5" t="str">
        <f>IF(B9&gt;0,_xlfn.CONCAT("Athletics (endurance) ",B9,", "),"")</f>
        <v/>
      </c>
      <c r="P9" s="137">
        <f>-500*E9</f>
        <v>0</v>
      </c>
      <c r="R9" s="116" t="s">
        <v>49</v>
      </c>
      <c r="S9" s="162" t="str">
        <f>IF(COUNT(B19:B26)=0,"none",_xlfn.CONCAT(COUNT(B19:B26), " X (STR ",H19," DEX ",L19,")"))</f>
        <v>3 X (STR 5 DEX 8)</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648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Medical Chamber, Medical Chamber Option: Low berth (improved), Medikit (advanced), Storage Compartment (refrigerated),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648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8</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17</v>
      </c>
      <c r="K19" s="16">
        <v>0</v>
      </c>
      <c r="L19" s="61">
        <f t="shared" ref="L19:L28" si="5">D19+K19</f>
        <v>8</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8</v>
      </c>
      <c r="E20" s="101" cm="1">
        <f t="array" ref="E20">ROUNDUP(_xlfn.IFS($B$4-B20=0,0,$B$4-B20=1,$E$4*0.05,$B$4-B20=2,$E$4*0.08,$B$4-B20=3,$E$4*0.09,$B$4-B20&gt;3,$E$4*0.1,$B$4-B20&lt;0,$E$4*0.1*($B$4-B20)),0)</f>
        <v>13</v>
      </c>
      <c r="F20" s="54">
        <f t="shared" si="1"/>
        <v>10</v>
      </c>
      <c r="G20" s="16"/>
      <c r="H20" s="6">
        <f t="shared" si="2"/>
        <v>5</v>
      </c>
      <c r="I20" s="21">
        <f t="shared" si="3"/>
        <v>-1</v>
      </c>
      <c r="J20" s="54">
        <f t="shared" si="4"/>
        <v>17</v>
      </c>
      <c r="K20" s="16"/>
      <c r="L20" s="6">
        <f t="shared" si="5"/>
        <v>8</v>
      </c>
      <c r="M20" s="21">
        <f t="shared" si="6"/>
        <v>0</v>
      </c>
      <c r="O20" s="5" t="str">
        <f t="shared" si="7"/>
        <v/>
      </c>
      <c r="P20" s="137">
        <f>IF((B20-$B$4)*100&gt;-0.2*$P$5,(B20-$B$4)*100,-0.2*$P$5)+B20*100*(G20)^2+B20*200*(K20)^2</f>
        <v>-500</v>
      </c>
      <c r="R20" s="232" t="s">
        <v>845</v>
      </c>
      <c r="S20" s="189"/>
      <c r="T20" s="189"/>
      <c r="U20" s="189"/>
      <c r="V20" s="189"/>
      <c r="W20" s="189"/>
      <c r="X20" s="189"/>
      <c r="Y20" s="189"/>
      <c r="Z20" s="190"/>
    </row>
    <row r="21" spans="1:26" ht="12" customHeight="1" x14ac:dyDescent="0.35">
      <c r="A21" s="93" t="s">
        <v>52</v>
      </c>
      <c r="B21" s="30">
        <v>3</v>
      </c>
      <c r="C21" s="6">
        <f t="shared" si="0"/>
        <v>5</v>
      </c>
      <c r="D21" s="97">
        <f t="shared" si="8"/>
        <v>8</v>
      </c>
      <c r="E21" s="101" cm="1">
        <f t="array" ref="E21">IF(B21=0,0,ROUNDUP(_xlfn.IFS($B$4-B21=0,-$E$4*0.1,$B$4-B21=1,-$E$4*0.05,$B$4-B21=2,-$E$4*0.02,$B$4-B21=3,-$E$4*0.01,$B$4-B21&gt;3,-$E$4*0.01,$B$4-B21&lt;0,$E$4*0.2*($B$4-B21)),0))</f>
        <v>-2</v>
      </c>
      <c r="F21" s="54">
        <f t="shared" si="1"/>
        <v>10</v>
      </c>
      <c r="G21" s="16"/>
      <c r="H21" s="6">
        <f t="shared" si="2"/>
        <v>5</v>
      </c>
      <c r="I21" s="21">
        <f t="shared" si="3"/>
        <v>-1</v>
      </c>
      <c r="J21" s="54">
        <f t="shared" si="4"/>
        <v>17</v>
      </c>
      <c r="K21" s="16"/>
      <c r="L21" s="6">
        <f t="shared" si="5"/>
        <v>8</v>
      </c>
      <c r="M21" s="21">
        <f t="shared" si="6"/>
        <v>0</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17</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17</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17</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17</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17</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17</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17</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-50</v>
      </c>
      <c r="F38" s="38">
        <f>IF(_xlfn.XLOOKUP(A38,OptionsTable[Name],OptionsTable[xS],,,)=FALSE,1,IF($B$4&gt;0,$E$4,1))</f>
        <v>1</v>
      </c>
      <c r="G38" s="58">
        <v>50</v>
      </c>
      <c r="H38" s="199" t="str">
        <f>IF(_xlfn.XLOOKUP(A38,OptionsTable[Name],OptionsTable[Notes],,,)="","",_xlfn.XLOOKUP(A38,OptionsTable[Name],OptionsTable[Notes],,,))</f>
        <v>DM+1 to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10000</v>
      </c>
      <c r="R38" s="191"/>
      <c r="S38" s="192"/>
      <c r="T38" s="192"/>
      <c r="U38" s="192"/>
      <c r="V38" s="192"/>
      <c r="W38" s="192"/>
      <c r="X38" s="192"/>
      <c r="Y38" s="192"/>
      <c r="Z38" s="193"/>
    </row>
    <row r="39" spans="1:26" ht="12" customHeight="1" x14ac:dyDescent="0.35">
      <c r="A39" s="197" t="s">
        <v>240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-50</v>
      </c>
      <c r="F39" s="38">
        <f>IF(_xlfn.XLOOKUP(A39,OptionsTable[Name],OptionsTable[xS],,,)=FALSE,1,IF($B$4&gt;0,$E$4,1))</f>
        <v>1</v>
      </c>
      <c r="G39" s="58">
        <v>50</v>
      </c>
      <c r="H39" s="199" t="str">
        <f>IF(_xlfn.XLOOKUP(A39,OptionsTable[Name],OptionsTable[Notes],,,)="","",_xlfn.XLOOKUP(A39,OptionsTable[Name],OptionsTable[Notes],,,))</f>
        <v>DM+1 to Max skill</v>
      </c>
      <c r="I39" s="200"/>
      <c r="J39" s="200"/>
      <c r="K39" s="44">
        <f>_xlfn.XLOOKUP(A39,OptionsTable[Name],OptionsTable[TL],,,)</f>
        <v>8</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560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-24</v>
      </c>
      <c r="F40" s="38">
        <f>IF(_xlfn.XLOOKUP(A40,OptionsTable[Name],OptionsTable[xS],,,)=FALSE,1,IF($B$4&gt;0,$E$4,1))</f>
        <v>1</v>
      </c>
      <c r="G40" s="58">
        <v>3</v>
      </c>
      <c r="H40" s="199" t="str">
        <f>IF(_xlfn.XLOOKUP(A40,OptionsTable[Name],OptionsTable[Notes],,,)="","",_xlfn.XLOOKUP(A40,OptionsTable[Name],OptionsTable[Notes],,,))</f>
        <v>DM+1 to revival</v>
      </c>
      <c r="I40" s="200"/>
      <c r="J40" s="200"/>
      <c r="K40" s="44">
        <f>_xlfn.XLOOKUP(A40,OptionsTable[Name],OptionsTable[TL],,,)</f>
        <v>12</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60000</v>
      </c>
      <c r="R40" s="191"/>
      <c r="S40" s="192"/>
      <c r="T40" s="192"/>
      <c r="U40" s="192"/>
      <c r="V40" s="192"/>
      <c r="W40" s="192"/>
      <c r="X40" s="192"/>
      <c r="Y40" s="192"/>
      <c r="Z40" s="193"/>
    </row>
    <row r="41" spans="1:26" ht="12" customHeight="1" x14ac:dyDescent="0.35">
      <c r="A41" s="197" t="s">
        <v>203</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-1</v>
      </c>
      <c r="F41" s="38">
        <f>IF(_xlfn.XLOOKUP(A41,OptionsTable[Name],OptionsTable[xS],,,)=FALSE,1,IF($B$4&gt;0,$E$4,1))</f>
        <v>1</v>
      </c>
      <c r="G41" s="58"/>
      <c r="H41" s="199" t="str">
        <f>IF(_xlfn.XLOOKUP(A41,OptionsTable[Name],OptionsTable[Notes],,,)="","",_xlfn.XLOOKUP(A41,OptionsTable[Name],OptionsTable[Notes],,,))</f>
        <v>3 max skill</v>
      </c>
      <c r="I41" s="200"/>
      <c r="J41" s="200"/>
      <c r="K41" s="44">
        <f>_xlfn.XLOOKUP(A41,OptionsTable[Name],OptionsTable[TL],,,)</f>
        <v>14</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10000</v>
      </c>
      <c r="R41" s="191"/>
      <c r="S41" s="192"/>
      <c r="T41" s="192"/>
      <c r="U41" s="192"/>
      <c r="V41" s="192"/>
      <c r="W41" s="192"/>
      <c r="X41" s="192"/>
      <c r="Y41" s="192"/>
      <c r="Z41" s="193"/>
    </row>
    <row r="42" spans="1:26" ht="12" customHeight="1" x14ac:dyDescent="0.35">
      <c r="A42" s="30" t="s">
        <v>190</v>
      </c>
      <c r="B42" s="157"/>
      <c r="C42" s="157"/>
      <c r="D42" s="157"/>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-6</v>
      </c>
      <c r="F42" s="38">
        <f>IF(_xlfn.XLOOKUP(A42,OptionsTable[Name],OptionsTable[xS],,,)=FALSE,1,IF($B$4&gt;0,$E$4,1))</f>
        <v>1</v>
      </c>
      <c r="G42" s="58">
        <v>6</v>
      </c>
      <c r="H42" s="199" t="str">
        <f>IF(_xlfn.XLOOKUP(A42,OptionsTable[Name],OptionsTable[Notes],,,)="","",_xlfn.XLOOKUP(A42,OptionsTable[Name],OptionsTable[Notes],,,))</f>
        <v>2 kg or litres / slot</v>
      </c>
      <c r="I42" s="200"/>
      <c r="J42" s="200"/>
      <c r="K42" s="44">
        <f>_xlfn.XLOOKUP(A42,OptionsTable[Name],OptionsTable[TL],,,)</f>
        <v>6</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600</v>
      </c>
      <c r="R42" s="191"/>
      <c r="S42" s="192"/>
      <c r="T42" s="192"/>
      <c r="U42" s="192"/>
      <c r="V42" s="192"/>
      <c r="W42" s="192"/>
      <c r="X42" s="192"/>
      <c r="Y42" s="192"/>
      <c r="Z42" s="193"/>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220"/>
      <c r="B56" s="221"/>
      <c r="C56" s="221"/>
      <c r="D56" s="22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156</v>
      </c>
      <c r="C65" s="198"/>
      <c r="D65" s="198"/>
      <c r="E65" s="40">
        <f>-_xlfn.XLOOKUP(B65,Bandwidth[Minimum Base Brain],Bandwidth[Slots],,,)</f>
        <v>-1</v>
      </c>
      <c r="F65" s="38"/>
      <c r="K65" s="44">
        <f>_xlfn.XLOOKUP(B65,Bandwidth[Minimum Base Brain],Bandwidth[TL],,,)</f>
        <v>10</v>
      </c>
      <c r="L65">
        <f>_xlfn.XLOOKUP(B65,Bandwidth[Minimum Base Brain],Bandwidth[Bandwidth],,,)+L64</f>
        <v>4</v>
      </c>
      <c r="M65" t="s">
        <v>310</v>
      </c>
      <c r="P65" s="137">
        <f>_xlfn.XLOOKUP(B65,Bandwidth[Minimum Base Brain],Bandwidth[Cost],,,)</f>
        <v>5000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9</v>
      </c>
      <c r="I66" s="15">
        <f>IF(H66&gt;17,4,IF(H66&gt;14,3,IF(H66&gt;11,2,IF(H66&gt;8,1,IF(H66&gt;5,0,IF(H66&gt;2,-1,-2))))))</f>
        <v>1</v>
      </c>
      <c r="K66" s="44"/>
      <c r="L66" s="56">
        <f>L65+F66</f>
        <v>3</v>
      </c>
      <c r="M66" t="s">
        <v>310</v>
      </c>
      <c r="P66" s="137" cm="1">
        <f t="array" ref="P66">_xlfn.IFS(B66=0,0,B66=1,(H64+1)*1000,B66=2,(H64+1)*(H64+2)*1000,B66=3,(H64+1)*(H64+2)*(H64+3)*1000)*IF(H66&gt;11,2,1)</f>
        <v>9000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3,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159900</v>
      </c>
    </row>
    <row r="92" spans="1:16" ht="12" customHeight="1" thickBot="1" x14ac:dyDescent="0.45">
      <c r="B92" s="114"/>
      <c r="D92" s="113"/>
      <c r="E92" s="113"/>
      <c r="O92" s="149" t="str">
        <f>CONCATENATE("Cost With "&amp;X6*100 &amp; "% Discount")</f>
        <v>Cost With 10% Discount</v>
      </c>
      <c r="P92" s="147">
        <f>P2</f>
        <v>143900</v>
      </c>
    </row>
    <row r="93" spans="1:16" ht="12" customHeight="1" x14ac:dyDescent="0.35">
      <c r="A93" s="7"/>
    </row>
    <row r="94" spans="1:16" ht="12" customHeight="1" x14ac:dyDescent="0.35">
      <c r="B94" s="110"/>
    </row>
    <row r="95" spans="1:16" ht="12" customHeight="1" x14ac:dyDescent="0.4">
      <c r="B95" s="111"/>
    </row>
    <row r="96" spans="1:16" ht="12" customHeight="1" x14ac:dyDescent="0.35">
      <c r="A96" s="110"/>
      <c r="B96" s="112"/>
    </row>
  </sheetData>
  <dataConsolidate/>
  <mergeCells count="112">
    <mergeCell ref="B75:C75"/>
    <mergeCell ref="B76:C76"/>
    <mergeCell ref="B77:C77"/>
    <mergeCell ref="A61:D61"/>
    <mergeCell ref="H61:I61"/>
    <mergeCell ref="B64:D64"/>
    <mergeCell ref="B65:D65"/>
    <mergeCell ref="B69:D69"/>
    <mergeCell ref="B70:D70"/>
    <mergeCell ref="B71:D71"/>
    <mergeCell ref="B73:C73"/>
    <mergeCell ref="B74:C74"/>
    <mergeCell ref="B90:C90"/>
    <mergeCell ref="B84:C84"/>
    <mergeCell ref="B85:C85"/>
    <mergeCell ref="B86:C86"/>
    <mergeCell ref="B87:C87"/>
    <mergeCell ref="B88:C88"/>
    <mergeCell ref="B89:C89"/>
    <mergeCell ref="B78:C78"/>
    <mergeCell ref="B79:C79"/>
    <mergeCell ref="B80:C80"/>
    <mergeCell ref="B81:C81"/>
    <mergeCell ref="B82:C82"/>
    <mergeCell ref="B83:C83"/>
    <mergeCell ref="A57:D57"/>
    <mergeCell ref="H57:J57"/>
    <mergeCell ref="A59:D59"/>
    <mergeCell ref="H59:I59"/>
    <mergeCell ref="A60:D60"/>
    <mergeCell ref="H60:I60"/>
    <mergeCell ref="A54:D54"/>
    <mergeCell ref="H54:J54"/>
    <mergeCell ref="A55:D55"/>
    <mergeCell ref="H55:J55"/>
    <mergeCell ref="A56:D56"/>
    <mergeCell ref="H56:J56"/>
    <mergeCell ref="A51:D51"/>
    <mergeCell ref="H51:J51"/>
    <mergeCell ref="A52:D52"/>
    <mergeCell ref="H52:J52"/>
    <mergeCell ref="A53:D53"/>
    <mergeCell ref="H53:J53"/>
    <mergeCell ref="A48:D48"/>
    <mergeCell ref="H48:J48"/>
    <mergeCell ref="A49:D49"/>
    <mergeCell ref="H49:J49"/>
    <mergeCell ref="A50:D50"/>
    <mergeCell ref="H50:J50"/>
    <mergeCell ref="A45:D45"/>
    <mergeCell ref="H45:J45"/>
    <mergeCell ref="A46:D46"/>
    <mergeCell ref="H46:J46"/>
    <mergeCell ref="A47:D47"/>
    <mergeCell ref="H47:J47"/>
    <mergeCell ref="A41:D41"/>
    <mergeCell ref="H41:J41"/>
    <mergeCell ref="H42:J42"/>
    <mergeCell ref="H43:J43"/>
    <mergeCell ref="A44:D44"/>
    <mergeCell ref="H44:J44"/>
    <mergeCell ref="A43:D43"/>
    <mergeCell ref="A37:D37"/>
    <mergeCell ref="H37:J37"/>
    <mergeCell ref="H38:J38"/>
    <mergeCell ref="A39:D39"/>
    <mergeCell ref="H39:J39"/>
    <mergeCell ref="H40:J40"/>
    <mergeCell ref="A33:D33"/>
    <mergeCell ref="H33:J33"/>
    <mergeCell ref="A34:D34"/>
    <mergeCell ref="H34:J34"/>
    <mergeCell ref="H35:J35"/>
    <mergeCell ref="A36:D36"/>
    <mergeCell ref="H36:J36"/>
    <mergeCell ref="A40:D40"/>
    <mergeCell ref="A38:D38"/>
    <mergeCell ref="A30:D30"/>
    <mergeCell ref="H30:J30"/>
    <mergeCell ref="A31:D31"/>
    <mergeCell ref="H31:J31"/>
    <mergeCell ref="A32:D32"/>
    <mergeCell ref="H32:J32"/>
    <mergeCell ref="G10:H10"/>
    <mergeCell ref="K10:M10"/>
    <mergeCell ref="G11:H11"/>
    <mergeCell ref="K11:L11"/>
    <mergeCell ref="G12:O12"/>
    <mergeCell ref="B29:D29"/>
    <mergeCell ref="H29:J29"/>
    <mergeCell ref="G5:I5"/>
    <mergeCell ref="H6:N6"/>
    <mergeCell ref="G7:I7"/>
    <mergeCell ref="G8:I8"/>
    <mergeCell ref="K8:M8"/>
    <mergeCell ref="G9:I9"/>
    <mergeCell ref="K9:M9"/>
    <mergeCell ref="B2:D2"/>
    <mergeCell ref="F2:H2"/>
    <mergeCell ref="I2:M2"/>
    <mergeCell ref="G3:J3"/>
    <mergeCell ref="G4:I4"/>
    <mergeCell ref="K4:L4"/>
    <mergeCell ref="R20:Z75"/>
    <mergeCell ref="R13:R17"/>
    <mergeCell ref="S7:Z7"/>
    <mergeCell ref="S8:Z8"/>
    <mergeCell ref="S9:Z9"/>
    <mergeCell ref="S10:Z10"/>
    <mergeCell ref="S11:Z11"/>
    <mergeCell ref="S12:Z12"/>
    <mergeCell ref="S13:Z17"/>
  </mergeCells>
  <conditionalFormatting sqref="B14">
    <cfRule type="expression" dxfId="109" priority="7">
      <formula>ABS($J$14-6) &gt; 6</formula>
    </cfRule>
  </conditionalFormatting>
  <conditionalFormatting sqref="E2">
    <cfRule type="expression" dxfId="108" priority="5">
      <formula>$E$2&lt;0</formula>
    </cfRule>
  </conditionalFormatting>
  <conditionalFormatting sqref="E15:E17">
    <cfRule type="expression" dxfId="107" priority="1">
      <formula>AND($B$4=0,E15&lt;0)</formula>
    </cfRule>
  </conditionalFormatting>
  <conditionalFormatting sqref="K5 K30:K34 K36:K57 K59:K61 K64:K67 K73:K90">
    <cfRule type="expression" dxfId="106" priority="6">
      <formula>K5&gt;$O$2</formula>
    </cfRule>
  </conditionalFormatting>
  <conditionalFormatting sqref="L57">
    <cfRule type="expression" dxfId="105" priority="2">
      <formula>L57&gt;$O$2</formula>
    </cfRule>
  </conditionalFormatting>
  <conditionalFormatting sqref="L67">
    <cfRule type="expression" dxfId="104" priority="4">
      <formula>L67&lt;0</formula>
    </cfRule>
  </conditionalFormatting>
  <dataValidations count="20">
    <dataValidation type="whole" allowBlank="1" showInputMessage="1" showErrorMessage="1" error="Total Armour cannot exceed Maximum" sqref="B7" xr:uid="{468FD4B4-AE03-4B78-AEFA-E9CBA06717D4}">
      <formula1>-1</formula1>
      <formula2>L7-MID(A7,18,1)</formula2>
    </dataValidation>
    <dataValidation type="whole" allowBlank="1" showInputMessage="1" showErrorMessage="1" error="Max DEX = TL+3" sqref="K19:K28" xr:uid="{100D8FC4-D57B-4955-A780-FB09CB504BA8}">
      <formula1>0</formula1>
      <formula2>J19-D19</formula2>
    </dataValidation>
    <dataValidation type="whole" allowBlank="1" showInputMessage="1" showErrorMessage="1" error="Max STR = Lesser of Size + TL or SIZE X 4" sqref="G19:G28" xr:uid="{1428D0FB-7727-49FA-87FB-BD97DB75D561}">
      <formula1>0</formula1>
      <formula2>F19-C19</formula2>
    </dataValidation>
    <dataValidation type="whole" allowBlank="1" showInputMessage="1" showErrorMessage="1" sqref="E13:E14" xr:uid="{6BD3CBD8-4195-4085-8DD5-9AEA5266FF4B}">
      <formula1>0</formula1>
      <formula2>#REF!/2</formula2>
    </dataValidation>
    <dataValidation type="whole" allowBlank="1" showInputMessage="1" showErrorMessage="1" sqref="C14:D14" xr:uid="{AC0F6FFE-1A02-4BD2-9B68-8ED7EF8F6479}">
      <formula1>0</formula1>
      <formula2>D15/2</formula2>
    </dataValidation>
    <dataValidation type="whole" allowBlank="1" showInputMessage="1" showErrorMessage="1" sqref="C13:D13" xr:uid="{3C4C8C6D-BEEA-417E-B339-9C557AEC8431}">
      <formula1>0</formula1>
      <formula2>D5/2</formula2>
    </dataValidation>
    <dataValidation type="whole" allowBlank="1" showInputMessage="1" showErrorMessage="1" sqref="C11:D11" xr:uid="{954563D6-FEE3-443E-BE76-734F16B19DF2}">
      <formula1>0</formula1>
      <formula2>D4/2</formula2>
    </dataValidation>
    <dataValidation type="whole" allowBlank="1" showInputMessage="1" showErrorMessage="1" error="Must be whole number between -6 and +12" sqref="B14" xr:uid="{C623D725-149E-4D3A-A861-81B5196BEDD0}">
      <formula1>-6</formula1>
      <formula2>12</formula2>
    </dataValidation>
    <dataValidation type="list" allowBlank="1" showInputMessage="1" showErrorMessage="1" sqref="B16" xr:uid="{67DACC62-E3DC-4AB6-9D7F-44979D79331A}">
      <formula1>"No,1X,2X,3X"</formula1>
    </dataValidation>
    <dataValidation type="list" allowBlank="1" showInputMessage="1" showErrorMessage="1" sqref="B15" xr:uid="{195ED871-8983-431B-B267-45950A20F66B}">
      <formula1>"FALSE,TRUE"</formula1>
    </dataValidation>
    <dataValidation type="list" allowBlank="1" showInputMessage="1" showErrorMessage="1" sqref="D73:D90 B66" xr:uid="{6816E33B-AE77-4EAB-84F3-04F69C5B6984}">
      <formula1>"0,1,2,3"</formula1>
    </dataValidation>
    <dataValidation type="list" allowBlank="1" showInputMessage="1" showErrorMessage="1" sqref="B13" xr:uid="{0A81F40F-0DC1-43EA-98DC-C85B3E46E135}">
      <formula1>"0,1,2,3,4"</formula1>
    </dataValidation>
    <dataValidation type="list" allowBlank="1" showInputMessage="1" showErrorMessage="1" sqref="B27:B28 B67 B8" xr:uid="{A9DBA4D3-FF6A-4231-98CF-C8E7A55F6F09}">
      <formula1>"TRUE,FALSE"</formula1>
    </dataValidation>
    <dataValidation type="whole" allowBlank="1" showInputMessage="1" showErrorMessage="1" error="Max Manipulator Size = Chassis Size +2_x000a_Min Manipulator Size = 0_x000a_Whole Numbers Only" sqref="B19:B26" xr:uid="{691280F5-8FC6-4DCB-8E8F-2CC49D1C342F}">
      <formula1>0</formula1>
      <formula2>$B$4+2</formula2>
    </dataValidation>
    <dataValidation type="list" allowBlank="1" showInputMessage="1" showErrorMessage="1" sqref="O2" xr:uid="{8BEDD64F-EE89-481F-AF4A-53E0761C1B34}">
      <formula1>"7,8,9,10,11,12,13,14,15,16,17,18"</formula1>
    </dataValidation>
    <dataValidation type="list" allowBlank="1" showInputMessage="1" showErrorMessage="1" sqref="B4" xr:uid="{4CCC257A-DB7A-411F-8484-D31A22B49AA4}">
      <formula1>"0,1,2,3,4,5,6,7,8"</formula1>
    </dataValidation>
    <dataValidation type="list" allowBlank="1" showInputMessage="1" showErrorMessage="1" error="Maximum = 3" sqref="B9" xr:uid="{1EB35497-0FFB-46B7-AEE9-BE63390DB1D0}">
      <formula1>"0,1,2,3"</formula1>
    </dataValidation>
    <dataValidation type="whole" allowBlank="1" showInputMessage="1" showErrorMessage="1" sqref="E11" xr:uid="{789DA230-884E-4812-B3E4-57A71B171900}">
      <formula1>0</formula1>
      <formula2>J4/2</formula2>
    </dataValidation>
    <dataValidation type="whole" allowBlank="1" showInputMessage="1" showErrorMessage="1" error="Must be whole number. No more than 50% of slots may be used for Resiliency" sqref="B10" xr:uid="{7BAE4D9D-6A0E-42D1-BAD6-4FF0D6BAD8DA}">
      <formula1>0</formula1>
      <formula2>E4/2</formula2>
    </dataValidation>
    <dataValidation type="whole" allowBlank="1" showInputMessage="1" showErrorMessage="1" error="Must be a negative number no less than a 50% of the base hits" sqref="B11" xr:uid="{AA8FF008-39D0-45F8-A989-75507A96068E}">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E5EFB1-3293-421C-B3AA-EB8066BE4ACB}">
          <x14:formula1>
            <xm:f>Options!$C$9:$C$71</xm:f>
          </x14:formula1>
          <xm:sqref>A30:A34</xm:sqref>
        </x14:dataValidation>
        <x14:dataValidation type="list" allowBlank="1" showInputMessage="1" showErrorMessage="1" xr:uid="{F7345DFF-3DF4-415F-A128-1831CF0800AB}">
          <x14:formula1>
            <xm:f>Brains!$K$3:$K$16</xm:f>
          </x14:formula1>
          <xm:sqref>B65</xm:sqref>
        </x14:dataValidation>
        <x14:dataValidation type="list" allowBlank="1" showInputMessage="1" showErrorMessage="1" xr:uid="{A76BECD1-D746-4D3B-9447-ECFBBAF7DD6F}">
          <x14:formula1>
            <xm:f>Packages!$B$23:$B$25</xm:f>
          </x14:formula1>
          <xm:sqref>B71</xm:sqref>
        </x14:dataValidation>
        <x14:dataValidation type="list" allowBlank="1" showInputMessage="1" showErrorMessage="1" xr:uid="{F41D0B4E-9DA2-4B97-85C2-CDBEDF6965F6}">
          <x14:formula1>
            <xm:f>Packages!$B$3:$B$7</xm:f>
          </x14:formula1>
          <xm:sqref>B69</xm:sqref>
        </x14:dataValidation>
        <x14:dataValidation type="list" allowBlank="1" showInputMessage="1" showErrorMessage="1" xr:uid="{C51D0AF1-CE76-439C-A4C8-544FB7C679CD}">
          <x14:formula1>
            <xm:f>Brains!$B$3:$B$19</xm:f>
          </x14:formula1>
          <xm:sqref>B64</xm:sqref>
        </x14:dataValidation>
        <x14:dataValidation type="list" allowBlank="1" showInputMessage="1" showErrorMessage="1" xr:uid="{277DF899-4D45-4C3F-BF3C-195712871AB4}">
          <x14:formula1>
            <xm:f>Packages!$B$11:$B$19</xm:f>
          </x14:formula1>
          <xm:sqref>B70</xm:sqref>
        </x14:dataValidation>
        <x14:dataValidation type="list" allowBlank="1" showInputMessage="1" showErrorMessage="1" xr:uid="{278CDB83-3CA4-49F6-ABAE-7768E337E698}">
          <x14:formula1>
            <xm:f>Chassis!$H$3:$H$13</xm:f>
          </x14:formula1>
          <xm:sqref>B17 B5</xm:sqref>
        </x14:dataValidation>
        <x14:dataValidation type="list" allowBlank="1" showInputMessage="1" showErrorMessage="1" xr:uid="{A17A5393-B348-424B-91A2-2835542117EA}">
          <x14:formula1>
            <xm:f>Packages!$B$29:$B$82</xm:f>
          </x14:formula1>
          <xm:sqref>A73:A90</xm:sqref>
        </x14:dataValidation>
        <x14:dataValidation type="list" allowBlank="1" showInputMessage="1" showErrorMessage="1" xr:uid="{9B4C2585-F165-48DC-81BE-986F6F7B07BA}">
          <x14:formula1>
            <xm:f>Options!$C$9:$C$256</xm:f>
          </x14:formula1>
          <xm:sqref>A36:A56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F18A0-D1F7-4AF5-BD8A-738E081A6CF2}">
  <sheetPr>
    <tabColor rgb="FF92D050"/>
  </sheetPr>
  <dimension ref="A1:Z94"/>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842</v>
      </c>
      <c r="C2" s="204"/>
      <c r="D2" s="205"/>
      <c r="E2" s="36">
        <f>SUM(E5:E90)+E4</f>
        <v>0</v>
      </c>
      <c r="F2" s="206" t="s">
        <v>184</v>
      </c>
      <c r="G2" s="207"/>
      <c r="H2" s="208"/>
      <c r="I2" s="203" t="s">
        <v>776</v>
      </c>
      <c r="J2" s="204"/>
      <c r="K2" s="204"/>
      <c r="L2" s="204"/>
      <c r="M2" s="204"/>
      <c r="N2" s="79" t="s">
        <v>315</v>
      </c>
      <c r="O2" s="37">
        <v>15</v>
      </c>
      <c r="P2" s="151">
        <f>Z6</f>
        <v>340600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23</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Advanced AutoBerth Cluster</v>
      </c>
      <c r="S6" s="144">
        <f>M11</f>
        <v>72</v>
      </c>
      <c r="T6" s="144" t="str">
        <f>B5</f>
        <v>None</v>
      </c>
      <c r="U6" s="144" t="str">
        <f>_xlfn.CONCAT(J14," m")</f>
        <v>0 m</v>
      </c>
      <c r="V6" s="145">
        <f>O2</f>
        <v>15</v>
      </c>
      <c r="W6" s="150">
        <f>P91</f>
        <v>378500</v>
      </c>
      <c r="X6" s="152">
        <f>IF(I2="Standard Design",0.1,0)</f>
        <v>0.1</v>
      </c>
      <c r="Y6" s="153">
        <v>2</v>
      </c>
      <c r="Z6" s="148">
        <f>FLOOR(P91*(1-X6),100)</f>
        <v>340600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4,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864</v>
      </c>
      <c r="K9" s="177" t="s">
        <v>64</v>
      </c>
      <c r="L9" s="178"/>
      <c r="M9" s="179"/>
      <c r="O9" s="5" t="str">
        <f>IF(B9&gt;0,_xlfn.CONCAT("Athletics (endurance) ",B9,", "),"")</f>
        <v/>
      </c>
      <c r="P9" s="137">
        <f>-500*E9</f>
        <v>0</v>
      </c>
      <c r="R9" s="116" t="s">
        <v>49</v>
      </c>
      <c r="S9" s="162" t="str">
        <f>IF(COUNT(B19:B26)=0,"none",_xlfn.CONCAT(COUNT(B19:B26), " X (STR ",H19," DEX ",L19,")"))</f>
        <v>3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864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Medical Chamber, Medical Chamber Option: Low berth (improved), Medikit (advanced), Storage Compartment (refrigerated),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864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18</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9</v>
      </c>
      <c r="E20" s="101" cm="1">
        <f t="array" ref="E20">ROUNDUP(_xlfn.IFS($B$4-B20=0,0,$B$4-B20=1,$E$4*0.05,$B$4-B20=2,$E$4*0.08,$B$4-B20=3,$E$4*0.09,$B$4-B20&gt;3,$E$4*0.1,$B$4-B20&lt;0,$E$4*0.1*($B$4-B20)),0)</f>
        <v>13</v>
      </c>
      <c r="F20" s="54">
        <f t="shared" si="1"/>
        <v>10</v>
      </c>
      <c r="G20" s="16"/>
      <c r="H20" s="6">
        <f t="shared" si="2"/>
        <v>5</v>
      </c>
      <c r="I20" s="21">
        <f t="shared" si="3"/>
        <v>-1</v>
      </c>
      <c r="J20" s="54">
        <f t="shared" si="4"/>
        <v>18</v>
      </c>
      <c r="K20" s="16"/>
      <c r="L20" s="6">
        <f t="shared" si="5"/>
        <v>9</v>
      </c>
      <c r="M20" s="21">
        <f t="shared" si="6"/>
        <v>1</v>
      </c>
      <c r="O20" s="5" t="str">
        <f t="shared" si="7"/>
        <v/>
      </c>
      <c r="P20" s="137">
        <f>IF((B20-$B$4)*100&gt;-0.2*$P$5,(B20-$B$4)*100,-0.2*$P$5)+B20*100*(G20)^2+B20*200*(K20)^2</f>
        <v>-500</v>
      </c>
      <c r="R20" s="232" t="s">
        <v>848</v>
      </c>
      <c r="S20" s="189"/>
      <c r="T20" s="189"/>
      <c r="U20" s="189"/>
      <c r="V20" s="189"/>
      <c r="W20" s="189"/>
      <c r="X20" s="189"/>
      <c r="Y20" s="189"/>
      <c r="Z20" s="190"/>
    </row>
    <row r="21" spans="1:26" ht="12" customHeight="1" x14ac:dyDescent="0.35">
      <c r="A21" s="93" t="s">
        <v>52</v>
      </c>
      <c r="B21" s="30">
        <v>3</v>
      </c>
      <c r="C21" s="6">
        <f t="shared" si="0"/>
        <v>5</v>
      </c>
      <c r="D21" s="97">
        <f t="shared" si="8"/>
        <v>9</v>
      </c>
      <c r="E21" s="101" cm="1">
        <f t="array" ref="E21">IF(B21=0,0,ROUNDUP(_xlfn.IFS($B$4-B21=0,-$E$4*0.1,$B$4-B21=1,-$E$4*0.05,$B$4-B21=2,-$E$4*0.02,$B$4-B21=3,-$E$4*0.01,$B$4-B21&gt;3,-$E$4*0.01,$B$4-B21&lt;0,$E$4*0.2*($B$4-B21)),0))</f>
        <v>-2</v>
      </c>
      <c r="F21" s="54">
        <f t="shared" si="1"/>
        <v>10</v>
      </c>
      <c r="G21" s="16"/>
      <c r="H21" s="6">
        <f t="shared" si="2"/>
        <v>5</v>
      </c>
      <c r="I21" s="21">
        <f t="shared" si="3"/>
        <v>-1</v>
      </c>
      <c r="J21" s="54">
        <f t="shared" si="4"/>
        <v>18</v>
      </c>
      <c r="K21" s="16"/>
      <c r="L21" s="6">
        <f t="shared" si="5"/>
        <v>9</v>
      </c>
      <c r="M21" s="21">
        <f t="shared" si="6"/>
        <v>1</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18</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18</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18</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18</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18</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18</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18</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-50</v>
      </c>
      <c r="F38" s="38">
        <f>IF(_xlfn.XLOOKUP(A38,OptionsTable[Name],OptionsTable[xS],,,)=FALSE,1,IF($B$4&gt;0,$E$4,1))</f>
        <v>1</v>
      </c>
      <c r="G38" s="58">
        <v>50</v>
      </c>
      <c r="H38" s="199" t="str">
        <f>IF(_xlfn.XLOOKUP(A38,OptionsTable[Name],OptionsTable[Notes],,,)="","",_xlfn.XLOOKUP(A38,OptionsTable[Name],OptionsTable[Notes],,,))</f>
        <v>DM+1 to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10000</v>
      </c>
      <c r="R38" s="191"/>
      <c r="S38" s="192"/>
      <c r="T38" s="192"/>
      <c r="U38" s="192"/>
      <c r="V38" s="192"/>
      <c r="W38" s="192"/>
      <c r="X38" s="192"/>
      <c r="Y38" s="192"/>
      <c r="Z38" s="193"/>
    </row>
    <row r="39" spans="1:26" ht="12" customHeight="1" x14ac:dyDescent="0.35">
      <c r="A39" s="197" t="s">
        <v>240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-50</v>
      </c>
      <c r="F39" s="38">
        <f>IF(_xlfn.XLOOKUP(A39,OptionsTable[Name],OptionsTable[xS],,,)=FALSE,1,IF($B$4&gt;0,$E$4,1))</f>
        <v>1</v>
      </c>
      <c r="G39" s="58">
        <v>50</v>
      </c>
      <c r="H39" s="199" t="str">
        <f>IF(_xlfn.XLOOKUP(A39,OptionsTable[Name],OptionsTable[Notes],,,)="","",_xlfn.XLOOKUP(A39,OptionsTable[Name],OptionsTable[Notes],,,))</f>
        <v>DM+1 to Max skill</v>
      </c>
      <c r="I39" s="200"/>
      <c r="J39" s="200"/>
      <c r="K39" s="44">
        <f>_xlfn.XLOOKUP(A39,OptionsTable[Name],OptionsTable[TL],,,)</f>
        <v>8</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560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-24</v>
      </c>
      <c r="F40" s="38">
        <f>IF(_xlfn.XLOOKUP(A40,OptionsTable[Name],OptionsTable[xS],,,)=FALSE,1,IF($B$4&gt;0,$E$4,1))</f>
        <v>1</v>
      </c>
      <c r="G40" s="58">
        <v>3</v>
      </c>
      <c r="H40" s="199" t="str">
        <f>IF(_xlfn.XLOOKUP(A40,OptionsTable[Name],OptionsTable[Notes],,,)="","",_xlfn.XLOOKUP(A40,OptionsTable[Name],OptionsTable[Notes],,,))</f>
        <v>DM+1 to revival</v>
      </c>
      <c r="I40" s="200"/>
      <c r="J40" s="242"/>
      <c r="K40" s="44">
        <f>_xlfn.XLOOKUP(A40,OptionsTable[Name],OptionsTable[TL],,,)</f>
        <v>12</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60000</v>
      </c>
      <c r="R40" s="191"/>
      <c r="S40" s="192"/>
      <c r="T40" s="192"/>
      <c r="U40" s="192"/>
      <c r="V40" s="192"/>
      <c r="W40" s="192"/>
      <c r="X40" s="192"/>
      <c r="Y40" s="192"/>
      <c r="Z40" s="193"/>
    </row>
    <row r="41" spans="1:26" ht="12" customHeight="1" x14ac:dyDescent="0.35">
      <c r="A41" s="197" t="s">
        <v>203</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-1</v>
      </c>
      <c r="F41" s="38">
        <f>IF(_xlfn.XLOOKUP(A41,OptionsTable[Name],OptionsTable[xS],,,)=FALSE,1,IF($B$4&gt;0,$E$4,1))</f>
        <v>1</v>
      </c>
      <c r="G41" s="58"/>
      <c r="H41" s="199" t="str">
        <f>IF(_xlfn.XLOOKUP(A41,OptionsTable[Name],OptionsTable[Notes],,,)="","",_xlfn.XLOOKUP(A41,OptionsTable[Name],OptionsTable[Notes],,,))</f>
        <v>3 max skill</v>
      </c>
      <c r="I41" s="200"/>
      <c r="J41" s="200"/>
      <c r="K41" s="44">
        <f>_xlfn.XLOOKUP(A41,OptionsTable[Name],OptionsTable[TL],,,)</f>
        <v>14</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10000</v>
      </c>
      <c r="R41" s="191"/>
      <c r="S41" s="192"/>
      <c r="T41" s="192"/>
      <c r="U41" s="192"/>
      <c r="V41" s="192"/>
      <c r="W41" s="192"/>
      <c r="X41" s="192"/>
      <c r="Y41" s="192"/>
      <c r="Z41" s="193"/>
    </row>
    <row r="42" spans="1:26" ht="12" customHeight="1" x14ac:dyDescent="0.35">
      <c r="A42" s="30" t="s">
        <v>190</v>
      </c>
      <c r="B42" s="157"/>
      <c r="C42" s="157"/>
      <c r="D42" s="15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-7</v>
      </c>
      <c r="F42" s="38">
        <f>IF(_xlfn.XLOOKUP(A42,OptionsTable[Name],OptionsTable[xS],,,)=FALSE,1,IF($B$4&gt;0,$E$4,1))</f>
        <v>1</v>
      </c>
      <c r="G42" s="58">
        <v>7</v>
      </c>
      <c r="H42" s="199" t="str">
        <f>IF(_xlfn.XLOOKUP(A42,OptionsTable[Name],OptionsTable[Notes],,,)="","",_xlfn.XLOOKUP(A42,OptionsTable[Name],OptionsTable[Notes],,,))</f>
        <v>2 kg or litres / slot</v>
      </c>
      <c r="I42" s="200"/>
      <c r="J42" s="200"/>
      <c r="K42" s="44">
        <f>_xlfn.XLOOKUP(A42,OptionsTable[Name],OptionsTable[TL],,,)</f>
        <v>6</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700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81</v>
      </c>
      <c r="C64" s="227"/>
      <c r="D64" s="227"/>
      <c r="E64" s="40">
        <f>IF(L64+K64-O2&gt;B4,-1,0)</f>
        <v>0</v>
      </c>
      <c r="F64" s="38"/>
      <c r="H64" s="1">
        <f>_xlfn.XLOOKUP(B64,Brains[Programming/Control],Brains[Base INT],,,)</f>
        <v>9</v>
      </c>
      <c r="I64" s="31">
        <f>IF(H64&gt;17,4,IF(H64&gt;14,3,IF(H64&gt;11,2,IF(H64&gt;8,1,IF(H64&gt;5,0,IF(H64&gt;2,-1,-2))))))</f>
        <v>1</v>
      </c>
      <c r="J64" s="1">
        <f>_xlfn.XLOOKUP(B64,Brains[Programming/Control],Brains[Computer/X],,,)</f>
        <v>3</v>
      </c>
      <c r="K64" s="44">
        <f>_xlfn.XLOOKUP(B64,Brains[Programming/Control],Brains[TL],,,)</f>
        <v>12</v>
      </c>
      <c r="L64">
        <f>_xlfn.XLOOKUP(B64,Brains[Programming/Control],Brains[Computer/X],,,)</f>
        <v>3</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62500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3</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9</v>
      </c>
      <c r="I66" s="15">
        <f>IF(H66&gt;17,4,IF(H66&gt;14,3,IF(H66&gt;11,2,IF(H66&gt;8,1,IF(H66&gt;5,0,IF(H66&gt;2,-1,-2))))))</f>
        <v>1</v>
      </c>
      <c r="K66" s="44"/>
      <c r="L66" s="56">
        <f>L65+F66</f>
        <v>3</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3</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4,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378500</v>
      </c>
    </row>
    <row r="92" spans="1:16" ht="12" customHeight="1" thickBot="1" x14ac:dyDescent="0.45">
      <c r="B92" s="110"/>
      <c r="O92" s="149" t="str">
        <f>CONCATENATE("Cost With "&amp;X6*100 &amp; "% Discount")</f>
        <v>Cost With 10% Discount</v>
      </c>
      <c r="P92" s="147">
        <f>P2</f>
        <v>340600</v>
      </c>
    </row>
    <row r="93" spans="1:16" ht="12" customHeight="1" x14ac:dyDescent="0.4">
      <c r="B93" s="111"/>
    </row>
    <row r="94" spans="1:16" ht="12" customHeight="1" x14ac:dyDescent="0.35">
      <c r="A94" s="110"/>
      <c r="B94" s="112"/>
    </row>
  </sheetData>
  <dataConsolidate/>
  <mergeCells count="112">
    <mergeCell ref="B69:D69"/>
    <mergeCell ref="B70:D70"/>
    <mergeCell ref="B88:C88"/>
    <mergeCell ref="B89:C89"/>
    <mergeCell ref="B90:C90"/>
    <mergeCell ref="B82:C82"/>
    <mergeCell ref="B83:C83"/>
    <mergeCell ref="B84:C84"/>
    <mergeCell ref="B85:C85"/>
    <mergeCell ref="B86:C86"/>
    <mergeCell ref="B87:C87"/>
    <mergeCell ref="B71:D71"/>
    <mergeCell ref="B73:C73"/>
    <mergeCell ref="B74:C74"/>
    <mergeCell ref="B75:C75"/>
    <mergeCell ref="B76:C76"/>
    <mergeCell ref="B77:C77"/>
    <mergeCell ref="B78:C78"/>
    <mergeCell ref="B79:C79"/>
    <mergeCell ref="B80:C80"/>
    <mergeCell ref="B81:C81"/>
    <mergeCell ref="A61:D61"/>
    <mergeCell ref="H61:I61"/>
    <mergeCell ref="B64:D64"/>
    <mergeCell ref="B65:D65"/>
    <mergeCell ref="A56:D56"/>
    <mergeCell ref="H56:J56"/>
    <mergeCell ref="A57:D57"/>
    <mergeCell ref="H57:J57"/>
    <mergeCell ref="A59:D59"/>
    <mergeCell ref="H59:I59"/>
    <mergeCell ref="A60:D60"/>
    <mergeCell ref="H60:I60"/>
    <mergeCell ref="A53:D53"/>
    <mergeCell ref="H53:J53"/>
    <mergeCell ref="A54:D54"/>
    <mergeCell ref="H54:J54"/>
    <mergeCell ref="A55:D55"/>
    <mergeCell ref="H55:J55"/>
    <mergeCell ref="A50:D50"/>
    <mergeCell ref="H50:J50"/>
    <mergeCell ref="A51:D51"/>
    <mergeCell ref="H51:J51"/>
    <mergeCell ref="A52:D52"/>
    <mergeCell ref="H52:J52"/>
    <mergeCell ref="A47:D47"/>
    <mergeCell ref="H47:J47"/>
    <mergeCell ref="A48:D48"/>
    <mergeCell ref="H48:J48"/>
    <mergeCell ref="A49:D49"/>
    <mergeCell ref="H49:J49"/>
    <mergeCell ref="A44:D44"/>
    <mergeCell ref="H44:J44"/>
    <mergeCell ref="A45:D45"/>
    <mergeCell ref="H45:J45"/>
    <mergeCell ref="A46:D46"/>
    <mergeCell ref="H46:J46"/>
    <mergeCell ref="H32:J32"/>
    <mergeCell ref="A41:D41"/>
    <mergeCell ref="H41:J41"/>
    <mergeCell ref="A38:D38"/>
    <mergeCell ref="H42:J42"/>
    <mergeCell ref="A33:D33"/>
    <mergeCell ref="H33:J33"/>
    <mergeCell ref="A43:D43"/>
    <mergeCell ref="H43:J43"/>
    <mergeCell ref="A37:D37"/>
    <mergeCell ref="H37:J37"/>
    <mergeCell ref="H38:J38"/>
    <mergeCell ref="A39:D39"/>
    <mergeCell ref="H39:J39"/>
    <mergeCell ref="A40:D40"/>
    <mergeCell ref="H40:J40"/>
    <mergeCell ref="R20:Z75"/>
    <mergeCell ref="R13:R17"/>
    <mergeCell ref="B2:D2"/>
    <mergeCell ref="F2:H2"/>
    <mergeCell ref="I2:M2"/>
    <mergeCell ref="G3:J3"/>
    <mergeCell ref="G4:I4"/>
    <mergeCell ref="K4:L4"/>
    <mergeCell ref="G5:I5"/>
    <mergeCell ref="H6:N6"/>
    <mergeCell ref="G7:I7"/>
    <mergeCell ref="A30:D30"/>
    <mergeCell ref="H30:J30"/>
    <mergeCell ref="A31:D31"/>
    <mergeCell ref="H31:J31"/>
    <mergeCell ref="B29:D29"/>
    <mergeCell ref="H29:J29"/>
    <mergeCell ref="A34:D34"/>
    <mergeCell ref="H34:J34"/>
    <mergeCell ref="G12:O12"/>
    <mergeCell ref="H35:J35"/>
    <mergeCell ref="A36:D36"/>
    <mergeCell ref="H36:J36"/>
    <mergeCell ref="A32:D32"/>
    <mergeCell ref="S7:Z7"/>
    <mergeCell ref="S8:Z8"/>
    <mergeCell ref="S9:Z9"/>
    <mergeCell ref="S10:Z10"/>
    <mergeCell ref="S11:Z11"/>
    <mergeCell ref="S12:Z12"/>
    <mergeCell ref="S13:Z17"/>
    <mergeCell ref="G8:I8"/>
    <mergeCell ref="K8:M8"/>
    <mergeCell ref="G9:I9"/>
    <mergeCell ref="K9:M9"/>
    <mergeCell ref="G10:H10"/>
    <mergeCell ref="K10:M10"/>
    <mergeCell ref="G11:H11"/>
    <mergeCell ref="K11:L11"/>
  </mergeCells>
  <conditionalFormatting sqref="B14">
    <cfRule type="expression" dxfId="103" priority="7">
      <formula>ABS($J$14-6) &gt; 6</formula>
    </cfRule>
  </conditionalFormatting>
  <conditionalFormatting sqref="E2">
    <cfRule type="expression" dxfId="102" priority="5">
      <formula>$E$2&lt;0</formula>
    </cfRule>
  </conditionalFormatting>
  <conditionalFormatting sqref="E15:E17">
    <cfRule type="expression" dxfId="101" priority="1">
      <formula>AND($B$4=0,E15&lt;0)</formula>
    </cfRule>
  </conditionalFormatting>
  <conditionalFormatting sqref="K5 K30:K34 K36:K57 K59:K61 K64:K67 K73:K90">
    <cfRule type="expression" dxfId="100" priority="6">
      <formula>K5&gt;$O$2</formula>
    </cfRule>
  </conditionalFormatting>
  <conditionalFormatting sqref="L57">
    <cfRule type="expression" dxfId="99" priority="2">
      <formula>L57&gt;$O$2</formula>
    </cfRule>
  </conditionalFormatting>
  <conditionalFormatting sqref="L67">
    <cfRule type="expression" dxfId="98" priority="4">
      <formula>L67&lt;0</formula>
    </cfRule>
  </conditionalFormatting>
  <dataValidations count="20">
    <dataValidation type="whole" allowBlank="1" showInputMessage="1" showErrorMessage="1" error="Total Armour cannot exceed Maximum" sqref="B7" xr:uid="{DD7897B7-6892-4EFC-99C2-10608E38002E}">
      <formula1>-1</formula1>
      <formula2>L7-MID(A7,18,1)</formula2>
    </dataValidation>
    <dataValidation type="whole" allowBlank="1" showInputMessage="1" showErrorMessage="1" error="Max DEX = TL+3" sqref="K19:K28" xr:uid="{ED9F2EBC-AD9B-4A79-8A1A-A3E12F7FE8CF}">
      <formula1>0</formula1>
      <formula2>J19-D19</formula2>
    </dataValidation>
    <dataValidation type="whole" allowBlank="1" showInputMessage="1" showErrorMessage="1" error="Max STR = Lesser of Size + TL or SIZE X 4" sqref="G19:G28" xr:uid="{867805D4-6A6F-4D96-A66F-C714E21A16C4}">
      <formula1>0</formula1>
      <formula2>F19-C19</formula2>
    </dataValidation>
    <dataValidation type="whole" allowBlank="1" showInputMessage="1" showErrorMessage="1" sqref="E13:E14" xr:uid="{DCBD17C8-5F63-4A28-9889-C43B0142BDB7}">
      <formula1>0</formula1>
      <formula2>#REF!/2</formula2>
    </dataValidation>
    <dataValidation type="whole" allowBlank="1" showInputMessage="1" showErrorMessage="1" sqref="C14:D14" xr:uid="{C5A917A9-10F4-4E8E-8F25-DB69E1F772EC}">
      <formula1>0</formula1>
      <formula2>D15/2</formula2>
    </dataValidation>
    <dataValidation type="whole" allowBlank="1" showInputMessage="1" showErrorMessage="1" sqref="C13:D13" xr:uid="{7A2135C0-288E-4A04-8E62-D0CC6EECB079}">
      <formula1>0</formula1>
      <formula2>D5/2</formula2>
    </dataValidation>
    <dataValidation type="whole" allowBlank="1" showInputMessage="1" showErrorMessage="1" sqref="C11:D11" xr:uid="{824E8BDC-93BC-4232-ADDD-83B0E4A201C3}">
      <formula1>0</formula1>
      <formula2>D4/2</formula2>
    </dataValidation>
    <dataValidation type="whole" allowBlank="1" showInputMessage="1" showErrorMessage="1" error="Must be whole number between -6 and +12" sqref="B14" xr:uid="{09EFDEE1-55DE-46A9-8CD3-096C0AE4FB4C}">
      <formula1>-6</formula1>
      <formula2>12</formula2>
    </dataValidation>
    <dataValidation type="list" allowBlank="1" showInputMessage="1" showErrorMessage="1" sqref="B16" xr:uid="{B578E7A3-5F8E-4BBE-A6D6-A05009C6BAA1}">
      <formula1>"No,1X,2X,3X"</formula1>
    </dataValidation>
    <dataValidation type="list" allowBlank="1" showInputMessage="1" showErrorMessage="1" sqref="B15" xr:uid="{59F9C5E0-7A52-46B3-8773-E2BF4A6E58CA}">
      <formula1>"FALSE,TRUE"</formula1>
    </dataValidation>
    <dataValidation type="list" allowBlank="1" showInputMessage="1" showErrorMessage="1" sqref="D73:D90 B66" xr:uid="{6D889FF2-A18D-40C3-A58D-6DAF39106B92}">
      <formula1>"0,1,2,3"</formula1>
    </dataValidation>
    <dataValidation type="list" allowBlank="1" showInputMessage="1" showErrorMessage="1" sqref="B13" xr:uid="{32CEEE13-EF8E-4BD7-A14E-E5F6E853DD8A}">
      <formula1>"0,1,2,3,4"</formula1>
    </dataValidation>
    <dataValidation type="list" allowBlank="1" showInputMessage="1" showErrorMessage="1" sqref="B27:B28 B67 B8" xr:uid="{AC919340-0F10-4E70-8CE3-538F00F3748A}">
      <formula1>"TRUE,FALSE"</formula1>
    </dataValidation>
    <dataValidation type="whole" allowBlank="1" showInputMessage="1" showErrorMessage="1" error="Max Manipulator Size = Chassis Size +2_x000a_Min Manipulator Size = 0_x000a_Whole Numbers Only" sqref="B19:B26" xr:uid="{870ABB4B-7081-4D8E-BCD7-C8A9F1CD6056}">
      <formula1>0</formula1>
      <formula2>$B$4+2</formula2>
    </dataValidation>
    <dataValidation type="list" allowBlank="1" showInputMessage="1" showErrorMessage="1" sqref="O2" xr:uid="{7E430829-925F-49E7-A03E-6E5AE807E974}">
      <formula1>"7,8,9,10,11,12,13,14,15,16,17,18"</formula1>
    </dataValidation>
    <dataValidation type="list" allowBlank="1" showInputMessage="1" showErrorMessage="1" sqref="B4" xr:uid="{B07D97E1-183D-4BAA-8D35-DC706A648BFE}">
      <formula1>"0,1,2,3,4,5,6,7,8"</formula1>
    </dataValidation>
    <dataValidation type="list" allowBlank="1" showInputMessage="1" showErrorMessage="1" error="Maximum = 3" sqref="B9" xr:uid="{7A359DC4-BB9C-4448-8072-6187B31D0776}">
      <formula1>"0,1,2,3"</formula1>
    </dataValidation>
    <dataValidation type="whole" allowBlank="1" showInputMessage="1" showErrorMessage="1" sqref="E11" xr:uid="{5BBC745F-03F1-4BF5-A02E-C2010F78C046}">
      <formula1>0</formula1>
      <formula2>J4/2</formula2>
    </dataValidation>
    <dataValidation type="whole" allowBlank="1" showInputMessage="1" showErrorMessage="1" error="Must be whole number. No more than 50% of slots may be used for Resiliency" sqref="B10" xr:uid="{29A0A829-B4D9-4808-8080-8E5333DBE5DF}">
      <formula1>0</formula1>
      <formula2>E4/2</formula2>
    </dataValidation>
    <dataValidation type="whole" allowBlank="1" showInputMessage="1" showErrorMessage="1" error="Must be a negative number no less than a 50% of the base hits" sqref="B11" xr:uid="{345A70A0-51E2-463C-AB97-8E0CAFBB71B5}">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C6967BE-FA25-4ED8-BB8B-591479B16D04}">
          <x14:formula1>
            <xm:f>Options!$C$9:$C$71</xm:f>
          </x14:formula1>
          <xm:sqref>A30:A34</xm:sqref>
        </x14:dataValidation>
        <x14:dataValidation type="list" allowBlank="1" showInputMessage="1" showErrorMessage="1" xr:uid="{547D9C51-CC6F-4B95-B61C-1E271A17A28A}">
          <x14:formula1>
            <xm:f>Brains!$K$3:$K$16</xm:f>
          </x14:formula1>
          <xm:sqref>B65</xm:sqref>
        </x14:dataValidation>
        <x14:dataValidation type="list" allowBlank="1" showInputMessage="1" showErrorMessage="1" xr:uid="{3C8A7936-8192-41A2-984C-877ACD6F596C}">
          <x14:formula1>
            <xm:f>Packages!$B$23:$B$25</xm:f>
          </x14:formula1>
          <xm:sqref>B71</xm:sqref>
        </x14:dataValidation>
        <x14:dataValidation type="list" allowBlank="1" showInputMessage="1" showErrorMessage="1" xr:uid="{A7A836BA-BCD5-4DD7-A502-2275CFD789AC}">
          <x14:formula1>
            <xm:f>Packages!$B$3:$B$7</xm:f>
          </x14:formula1>
          <xm:sqref>B69</xm:sqref>
        </x14:dataValidation>
        <x14:dataValidation type="list" allowBlank="1" showInputMessage="1" showErrorMessage="1" xr:uid="{364A789A-8797-4CE6-A238-48141127A223}">
          <x14:formula1>
            <xm:f>Brains!$B$3:$B$19</xm:f>
          </x14:formula1>
          <xm:sqref>B64</xm:sqref>
        </x14:dataValidation>
        <x14:dataValidation type="list" allowBlank="1" showInputMessage="1" showErrorMessage="1" xr:uid="{B738B479-9E47-4F47-95F3-B02335F75BCF}">
          <x14:formula1>
            <xm:f>Packages!$B$11:$B$19</xm:f>
          </x14:formula1>
          <xm:sqref>B70</xm:sqref>
        </x14:dataValidation>
        <x14:dataValidation type="list" allowBlank="1" showInputMessage="1" showErrorMessage="1" xr:uid="{1B8B3B91-134F-4C0C-A18F-D3A53866A4B6}">
          <x14:formula1>
            <xm:f>Chassis!$H$3:$H$13</xm:f>
          </x14:formula1>
          <xm:sqref>B17 B5</xm:sqref>
        </x14:dataValidation>
        <x14:dataValidation type="list" allowBlank="1" showInputMessage="1" showErrorMessage="1" xr:uid="{6F03C33F-7F4E-4DBF-8ECE-2E9B845DDE68}">
          <x14:formula1>
            <xm:f>Packages!$B$29:$B$82</xm:f>
          </x14:formula1>
          <xm:sqref>A73:A90</xm:sqref>
        </x14:dataValidation>
        <x14:dataValidation type="list" allowBlank="1" showInputMessage="1" showErrorMessage="1" xr:uid="{FF400A1A-6315-49E8-BE9F-6A51FE7A0CD2}">
          <x14:formula1>
            <xm:f>Options!$C$9:$C$256</xm:f>
          </x14:formula1>
          <xm:sqref>A36:A56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0854-DA58-46C5-9167-035F847309C5}">
  <sheetPr>
    <tabColor rgb="FF92D050"/>
  </sheetPr>
  <dimension ref="A1:Z95"/>
  <sheetViews>
    <sheetView workbookViewId="0">
      <pane ySplit="3" topLeftCell="A10"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854</v>
      </c>
      <c r="C2" s="204"/>
      <c r="D2" s="205"/>
      <c r="E2" s="36">
        <f>SUM(E5:E90)+E4</f>
        <v>0</v>
      </c>
      <c r="F2" s="206" t="s">
        <v>184</v>
      </c>
      <c r="G2" s="207"/>
      <c r="H2" s="208"/>
      <c r="I2" s="203" t="s">
        <v>776</v>
      </c>
      <c r="J2" s="204"/>
      <c r="K2" s="204"/>
      <c r="L2" s="204"/>
      <c r="M2" s="204"/>
      <c r="N2" s="79" t="s">
        <v>315</v>
      </c>
      <c r="O2" s="37">
        <v>16</v>
      </c>
      <c r="P2" s="151">
        <f>Z6</f>
        <v>418100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24</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Superior AutoBerth Cluster</v>
      </c>
      <c r="S6" s="144">
        <f>M11</f>
        <v>72</v>
      </c>
      <c r="T6" s="144" t="str">
        <f>B5</f>
        <v>None</v>
      </c>
      <c r="U6" s="144" t="str">
        <f>_xlfn.CONCAT(J14," m")</f>
        <v>0 m</v>
      </c>
      <c r="V6" s="145">
        <f>O2</f>
        <v>16</v>
      </c>
      <c r="W6" s="150">
        <f>P91</f>
        <v>464600</v>
      </c>
      <c r="X6" s="152">
        <f>IF(I2="Standard Design",0.1,0)</f>
        <v>0.1</v>
      </c>
      <c r="Y6" s="153">
        <v>2</v>
      </c>
      <c r="Z6" s="148">
        <f>FLOOR(P91*(1-X6),100)</f>
        <v>418100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5,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864</v>
      </c>
      <c r="K9" s="177" t="s">
        <v>64</v>
      </c>
      <c r="L9" s="178"/>
      <c r="M9" s="179"/>
      <c r="O9" s="5" t="str">
        <f>IF(B9&gt;0,_xlfn.CONCAT("Athletics (endurance) ",B9,", "),"")</f>
        <v/>
      </c>
      <c r="P9" s="137">
        <f>-500*E9</f>
        <v>0</v>
      </c>
      <c r="R9" s="116" t="s">
        <v>49</v>
      </c>
      <c r="S9" s="162" t="str">
        <f>IF(COUNT(B19:B26)=0,"none",_xlfn.CONCAT(COUNT(B19:B26), " X (STR ",H19," DEX ",L19,")"))</f>
        <v>1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864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12)</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243"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Medical Chamber, Medical Chamber Option: Low berth (improved), Medikit (advanced), Storage Compartment (refrigerated), , , , , , , , , , , , , , </v>
      </c>
      <c r="T13" s="244"/>
      <c r="U13" s="244"/>
      <c r="V13" s="244"/>
      <c r="W13" s="244"/>
      <c r="X13" s="244"/>
      <c r="Y13" s="244"/>
      <c r="Z13" s="245"/>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864 hours</v>
      </c>
      <c r="L14" s="5"/>
      <c r="M14" s="5"/>
      <c r="N14" s="5"/>
      <c r="P14" s="137">
        <f>B14*0.1*P5</f>
        <v>0</v>
      </c>
      <c r="R14" s="160"/>
      <c r="S14" s="246"/>
      <c r="T14" s="247"/>
      <c r="U14" s="247"/>
      <c r="V14" s="247"/>
      <c r="W14" s="247"/>
      <c r="X14" s="247"/>
      <c r="Y14" s="247"/>
      <c r="Z14" s="248"/>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246"/>
      <c r="T15" s="247"/>
      <c r="U15" s="247"/>
      <c r="V15" s="247"/>
      <c r="W15" s="247"/>
      <c r="X15" s="247"/>
      <c r="Y15" s="247"/>
      <c r="Z15" s="248"/>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246"/>
      <c r="T16" s="247"/>
      <c r="U16" s="247"/>
      <c r="V16" s="247"/>
      <c r="W16" s="247"/>
      <c r="X16" s="247"/>
      <c r="Y16" s="247"/>
      <c r="Z16" s="248"/>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249"/>
      <c r="T17" s="250"/>
      <c r="U17" s="250"/>
      <c r="V17" s="250"/>
      <c r="W17" s="250"/>
      <c r="X17" s="250"/>
      <c r="Y17" s="250"/>
      <c r="Z17" s="251"/>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19</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-500</v>
      </c>
      <c r="R19" s="7" t="s">
        <v>843</v>
      </c>
    </row>
    <row r="20" spans="1:26" ht="12" customHeight="1" x14ac:dyDescent="0.35">
      <c r="A20" s="93" t="s">
        <v>51</v>
      </c>
      <c r="B20" s="35"/>
      <c r="C20" s="6">
        <f t="shared" si="0"/>
        <v>0</v>
      </c>
      <c r="D20" s="97">
        <f t="shared" ref="D20:D26" si="8">IF(B20=0,0,ROUNDUP($O$2/2+1,0))</f>
        <v>0</v>
      </c>
      <c r="E20" s="101" cm="1">
        <f t="array" ref="E20">ROUNDUP(_xlfn.IFS($B$4-B20=0,0,$B$4-B20=1,$E$4*0.05,$B$4-B20=2,$E$4*0.08,$B$4-B20=3,$E$4*0.09,$B$4-B20&gt;3,$E$4*0.1,$B$4-B20&lt;0,$E$4*0.1*($B$4-B20)),0)</f>
        <v>13</v>
      </c>
      <c r="F20" s="54">
        <f t="shared" si="1"/>
        <v>0</v>
      </c>
      <c r="G20" s="16"/>
      <c r="H20" s="6">
        <f t="shared" si="2"/>
        <v>0</v>
      </c>
      <c r="I20" s="21">
        <f t="shared" si="3"/>
        <v>-2</v>
      </c>
      <c r="J20" s="54">
        <f t="shared" si="4"/>
        <v>19</v>
      </c>
      <c r="K20" s="16"/>
      <c r="L20" s="6">
        <f t="shared" si="5"/>
        <v>0</v>
      </c>
      <c r="M20" s="21">
        <f t="shared" si="6"/>
        <v>-2</v>
      </c>
      <c r="O20" s="5" t="str">
        <f t="shared" si="7"/>
        <v/>
      </c>
      <c r="P20" s="137">
        <f>IF((B20-$B$4)*100&gt;-0.2*$P$5,(B20-$B$4)*100,-0.2*$P$5)+B20*100*(G20)^2+B20*200*(K20)^2</f>
        <v>-800</v>
      </c>
      <c r="R20" s="232" t="s">
        <v>853</v>
      </c>
      <c r="S20" s="189"/>
      <c r="T20" s="189"/>
      <c r="U20" s="189"/>
      <c r="V20" s="189"/>
      <c r="W20" s="189"/>
      <c r="X20" s="189"/>
      <c r="Y20" s="189"/>
      <c r="Z20" s="190"/>
    </row>
    <row r="21" spans="1:26" ht="12" customHeight="1" x14ac:dyDescent="0.35">
      <c r="A21" s="93" t="s">
        <v>52</v>
      </c>
      <c r="B21" s="30"/>
      <c r="C21" s="6">
        <f t="shared" si="0"/>
        <v>0</v>
      </c>
      <c r="D21" s="97">
        <f t="shared" si="8"/>
        <v>0</v>
      </c>
      <c r="E21" s="101" cm="1">
        <f t="array" ref="E21">IF(B21=0,0,ROUNDUP(_xlfn.IFS($B$4-B21=0,-$E$4*0.1,$B$4-B21=1,-$E$4*0.05,$B$4-B21=2,-$E$4*0.02,$B$4-B21=3,-$E$4*0.01,$B$4-B21&gt;3,-$E$4*0.01,$B$4-B21&lt;0,$E$4*0.2*($B$4-B21)),0))</f>
        <v>0</v>
      </c>
      <c r="F21" s="54">
        <f t="shared" si="1"/>
        <v>0</v>
      </c>
      <c r="G21" s="16"/>
      <c r="H21" s="6">
        <f t="shared" si="2"/>
        <v>0</v>
      </c>
      <c r="I21" s="21">
        <f t="shared" si="3"/>
        <v>-2</v>
      </c>
      <c r="J21" s="54">
        <f t="shared" si="4"/>
        <v>19</v>
      </c>
      <c r="K21" s="16"/>
      <c r="L21" s="6">
        <f t="shared" si="5"/>
        <v>0</v>
      </c>
      <c r="M21" s="21">
        <f t="shared" si="6"/>
        <v>-2</v>
      </c>
      <c r="O21" s="5" t="str">
        <f t="shared" si="7"/>
        <v/>
      </c>
      <c r="P21" s="137">
        <f t="shared" ref="P21:P26" si="9">(B21)*100+B21*100*(G21)^2+B21*200*(K21)^2</f>
        <v>0</v>
      </c>
      <c r="R21" s="191"/>
      <c r="S21" s="192"/>
      <c r="T21" s="192"/>
      <c r="U21" s="192"/>
      <c r="V21" s="192"/>
      <c r="W21" s="192"/>
      <c r="X21" s="192"/>
      <c r="Y21" s="192"/>
      <c r="Z21" s="193"/>
    </row>
    <row r="22" spans="1:26" ht="12" customHeight="1" x14ac:dyDescent="0.35">
      <c r="A22" s="93" t="s">
        <v>53</v>
      </c>
      <c r="B22" s="30"/>
      <c r="C22" s="6">
        <f t="shared" si="0"/>
        <v>0</v>
      </c>
      <c r="D22" s="97">
        <f t="shared" si="8"/>
        <v>0</v>
      </c>
      <c r="E22" s="101" cm="1">
        <f t="array" ref="E22">IF(B22=0,0,ROUNDUP(_xlfn.IFS($B$4-B22=0,-$E$4*0.1,$B$4-B22=1,-$E$4*0.05,$B$4-B22=2,-$E$4*0.02,$B$4-B22=3,-$E$4*0.01,$B$4-B22&gt;3,-$E$4*0.01,$B$4-B22&lt;0,$E$4*0.2*($B$4-B22)),0))</f>
        <v>0</v>
      </c>
      <c r="F22" s="54">
        <f t="shared" si="1"/>
        <v>0</v>
      </c>
      <c r="G22" s="16"/>
      <c r="H22" s="6">
        <f t="shared" si="2"/>
        <v>0</v>
      </c>
      <c r="I22" s="21">
        <f t="shared" si="3"/>
        <v>-2</v>
      </c>
      <c r="J22" s="54">
        <f t="shared" si="4"/>
        <v>19</v>
      </c>
      <c r="K22" s="16"/>
      <c r="L22" s="6">
        <f t="shared" si="5"/>
        <v>0</v>
      </c>
      <c r="M22" s="21">
        <f t="shared" si="6"/>
        <v>-2</v>
      </c>
      <c r="O22" s="5" t="str">
        <f t="shared" si="7"/>
        <v/>
      </c>
      <c r="P22" s="137">
        <f t="shared" si="9"/>
        <v>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19</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19</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19</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19</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19</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19</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-50</v>
      </c>
      <c r="F37" s="38">
        <f>IF(_xlfn.XLOOKUP(A37,OptionsTable[Name],OptionsTable[xS],,,)=FALSE,1,IF($B$4&gt;0,$E$4,1))</f>
        <v>1</v>
      </c>
      <c r="G37" s="58">
        <v>50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10000</v>
      </c>
      <c r="R37" s="191"/>
      <c r="S37" s="192"/>
      <c r="T37" s="192"/>
      <c r="U37" s="192"/>
      <c r="V37" s="192"/>
      <c r="W37" s="192"/>
      <c r="X37" s="192"/>
      <c r="Y37" s="192"/>
      <c r="Z37" s="193"/>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-50</v>
      </c>
      <c r="F38" s="38">
        <f>IF(_xlfn.XLOOKUP(A38,OptionsTable[Name],OptionsTable[xS],,,)=FALSE,1,IF($B$4&gt;0,$E$4,1))</f>
        <v>1</v>
      </c>
      <c r="G38" s="58">
        <v>50</v>
      </c>
      <c r="H38" s="199" t="str">
        <f>IF(_xlfn.XLOOKUP(A38,OptionsTable[Name],OptionsTable[Notes],,,)="","",_xlfn.XLOOKUP(A38,OptionsTable[Name],OptionsTable[Notes],,,))</f>
        <v>DM+1 to Max skill</v>
      </c>
      <c r="I38" s="200"/>
      <c r="J38" s="242"/>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10000</v>
      </c>
      <c r="R38" s="191"/>
      <c r="S38" s="192"/>
      <c r="T38" s="192"/>
      <c r="U38" s="192"/>
      <c r="V38" s="192"/>
      <c r="W38" s="192"/>
      <c r="X38" s="192"/>
      <c r="Y38" s="192"/>
      <c r="Z38" s="193"/>
    </row>
    <row r="39" spans="1:26" ht="12" customHeight="1" x14ac:dyDescent="0.35">
      <c r="A39" s="197" t="s">
        <v>240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-50</v>
      </c>
      <c r="F39" s="38">
        <f>IF(_xlfn.XLOOKUP(A39,OptionsTable[Name],OptionsTable[xS],,,)=FALSE,1,IF($B$4&gt;0,$E$4,1))</f>
        <v>1</v>
      </c>
      <c r="G39" s="58">
        <v>50</v>
      </c>
      <c r="H39" s="199" t="str">
        <f>IF(_xlfn.XLOOKUP(A39,OptionsTable[Name],OptionsTable[Notes],,,)="","",_xlfn.XLOOKUP(A39,OptionsTable[Name],OptionsTable[Notes],,,))</f>
        <v>DM+1 to Max skill</v>
      </c>
      <c r="I39" s="200"/>
      <c r="J39" s="200"/>
      <c r="K39" s="44">
        <f>_xlfn.XLOOKUP(A39,OptionsTable[Name],OptionsTable[TL],,,)</f>
        <v>8</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560</v>
      </c>
      <c r="B40" s="198"/>
      <c r="C40" s="198"/>
      <c r="D40" s="241"/>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-24</v>
      </c>
      <c r="F40" s="38">
        <f>IF(_xlfn.XLOOKUP(A40,OptionsTable[Name],OptionsTable[xS],,,)=FALSE,1,IF($B$4&gt;0,$E$4,1))</f>
        <v>1</v>
      </c>
      <c r="G40" s="58">
        <v>3</v>
      </c>
      <c r="H40" s="199" t="str">
        <f>IF(_xlfn.XLOOKUP(A40,OptionsTable[Name],OptionsTable[Notes],,,)="","",_xlfn.XLOOKUP(A40,OptionsTable[Name],OptionsTable[Notes],,,))</f>
        <v>DM+1 to revival</v>
      </c>
      <c r="I40" s="200"/>
      <c r="J40" s="200"/>
      <c r="K40" s="44">
        <f>_xlfn.XLOOKUP(A40,OptionsTable[Name],OptionsTable[TL],,,)</f>
        <v>12</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60000</v>
      </c>
      <c r="R40" s="191"/>
      <c r="S40" s="192"/>
      <c r="T40" s="192"/>
      <c r="U40" s="192"/>
      <c r="V40" s="192"/>
      <c r="W40" s="192"/>
      <c r="X40" s="192"/>
      <c r="Y40" s="192"/>
      <c r="Z40" s="193"/>
    </row>
    <row r="41" spans="1:26" ht="12" customHeight="1" x14ac:dyDescent="0.35">
      <c r="A41" s="197" t="s">
        <v>203</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-1</v>
      </c>
      <c r="F41" s="38">
        <f>IF(_xlfn.XLOOKUP(A41,OptionsTable[Name],OptionsTable[xS],,,)=FALSE,1,IF($B$4&gt;0,$E$4,1))</f>
        <v>1</v>
      </c>
      <c r="G41" s="58"/>
      <c r="H41" s="199" t="str">
        <f>IF(_xlfn.XLOOKUP(A41,OptionsTable[Name],OptionsTable[Notes],,,)="","",_xlfn.XLOOKUP(A41,OptionsTable[Name],OptionsTable[Notes],,,))</f>
        <v>3 max skill</v>
      </c>
      <c r="I41" s="200"/>
      <c r="J41" s="200"/>
      <c r="K41" s="44">
        <f>_xlfn.XLOOKUP(A41,OptionsTable[Name],OptionsTable[TL],,,)</f>
        <v>14</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10000</v>
      </c>
      <c r="R41" s="191"/>
      <c r="S41" s="192"/>
      <c r="T41" s="192"/>
      <c r="U41" s="192"/>
      <c r="V41" s="192"/>
      <c r="W41" s="192"/>
      <c r="X41" s="192"/>
      <c r="Y41" s="192"/>
      <c r="Z41" s="193"/>
    </row>
    <row r="42" spans="1:26" ht="12" customHeight="1" x14ac:dyDescent="0.35">
      <c r="A42" s="30" t="s">
        <v>190</v>
      </c>
      <c r="B42" s="157"/>
      <c r="C42" s="157"/>
      <c r="D42" s="15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-9</v>
      </c>
      <c r="F42" s="38">
        <f>IF(_xlfn.XLOOKUP(A42,OptionsTable[Name],OptionsTable[xS],,,)=FALSE,1,IF($B$4&gt;0,$E$4,1))</f>
        <v>1</v>
      </c>
      <c r="G42" s="58">
        <v>9</v>
      </c>
      <c r="H42" s="199" t="str">
        <f>IF(_xlfn.XLOOKUP(A42,OptionsTable[Name],OptionsTable[Notes],,,)="","",_xlfn.XLOOKUP(A42,OptionsTable[Name],OptionsTable[Notes],,,))</f>
        <v>2 kg or litres / slot</v>
      </c>
      <c r="I42" s="200"/>
      <c r="J42" s="200"/>
      <c r="K42" s="44">
        <f>_xlfn.XLOOKUP(A42,OptionsTable[Name],OptionsTable[TL],,,)</f>
        <v>6</v>
      </c>
      <c r="L42" s="120"/>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900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220"/>
      <c r="B56" s="221"/>
      <c r="C56" s="221"/>
      <c r="D56" s="22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83</v>
      </c>
      <c r="C64" s="227"/>
      <c r="D64" s="227"/>
      <c r="E64" s="40">
        <f>IF(L64+K64-O2&gt;B4,-1,0)</f>
        <v>0</v>
      </c>
      <c r="F64" s="38"/>
      <c r="H64" s="1">
        <f>_xlfn.XLOOKUP(B64,Brains[Programming/Control],Brains[Base INT],,,)</f>
        <v>11</v>
      </c>
      <c r="I64" s="31">
        <f>IF(H64&gt;17,4,IF(H64&gt;14,3,IF(H64&gt;11,2,IF(H64&gt;8,1,IF(H64&gt;5,0,IF(H64&gt;2,-1,-2))))))</f>
        <v>1</v>
      </c>
      <c r="J64" s="1">
        <f>_xlfn.XLOOKUP(B64,Brains[Programming/Control],Brains[Computer/X],,,)</f>
        <v>5</v>
      </c>
      <c r="K64" s="44">
        <f>_xlfn.XLOOKUP(B64,Brains[Programming/Control],Brains[TL],,,)</f>
        <v>14</v>
      </c>
      <c r="L64">
        <f>_xlfn.XLOOKUP(B64,Brains[Programming/Control],Brains[Computer/X],,,)</f>
        <v>5</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125000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5</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12</v>
      </c>
      <c r="I66" s="15">
        <f>IF(H66&gt;17,4,IF(H66&gt;14,3,IF(H66&gt;11,2,IF(H66&gt;8,1,IF(H66&gt;5,0,IF(H66&gt;2,-1,-2))))))</f>
        <v>2</v>
      </c>
      <c r="K66" s="44"/>
      <c r="L66" s="56">
        <f>L65+F66</f>
        <v>4</v>
      </c>
      <c r="M66" t="s">
        <v>310</v>
      </c>
      <c r="P66" s="137" cm="1">
        <f t="array" ref="P66">_xlfn.IFS(B66=0,0,B66=1,(H64+1)*1000,B66=2,(H64+1)*(H64+2)*1000,B66=3,(H64+1)*(H64+2)*(H64+3)*1000)*IF(H66&gt;11,2,1)</f>
        <v>24000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5</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5,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464600</v>
      </c>
    </row>
    <row r="92" spans="1:16" ht="12" customHeight="1" thickBot="1" x14ac:dyDescent="0.45">
      <c r="A92" s="7"/>
      <c r="O92" s="149" t="str">
        <f>CONCATENATE("Cost With "&amp;X6*100 &amp; "% Discount")</f>
        <v>Cost With 10% Discount</v>
      </c>
      <c r="P92" s="147">
        <f>P2</f>
        <v>418100</v>
      </c>
    </row>
    <row r="93" spans="1:16" ht="12" customHeight="1" x14ac:dyDescent="0.35">
      <c r="B93" s="110"/>
    </row>
    <row r="94" spans="1:16" ht="12" customHeight="1" x14ac:dyDescent="0.4">
      <c r="B94" s="111"/>
    </row>
    <row r="95" spans="1:16" ht="12" customHeight="1" x14ac:dyDescent="0.35">
      <c r="A95" s="110"/>
      <c r="B95" s="112"/>
    </row>
  </sheetData>
  <dataConsolidate/>
  <mergeCells count="112">
    <mergeCell ref="A49:D49"/>
    <mergeCell ref="H49:J49"/>
    <mergeCell ref="A50:D50"/>
    <mergeCell ref="H50:J50"/>
    <mergeCell ref="A51:D51"/>
    <mergeCell ref="H51:J51"/>
    <mergeCell ref="A46:D46"/>
    <mergeCell ref="H46:J46"/>
    <mergeCell ref="A47:D47"/>
    <mergeCell ref="H47:J47"/>
    <mergeCell ref="A48:D48"/>
    <mergeCell ref="H48:J48"/>
    <mergeCell ref="A55:D55"/>
    <mergeCell ref="H55:J55"/>
    <mergeCell ref="A56:D56"/>
    <mergeCell ref="H56:J56"/>
    <mergeCell ref="A57:D57"/>
    <mergeCell ref="H57:J57"/>
    <mergeCell ref="A52:D52"/>
    <mergeCell ref="H52:J52"/>
    <mergeCell ref="A53:D53"/>
    <mergeCell ref="H53:J53"/>
    <mergeCell ref="A54:D54"/>
    <mergeCell ref="H54:J54"/>
    <mergeCell ref="B64:D64"/>
    <mergeCell ref="B65:D65"/>
    <mergeCell ref="B69:D69"/>
    <mergeCell ref="B70:D70"/>
    <mergeCell ref="B71:D71"/>
    <mergeCell ref="B73:C73"/>
    <mergeCell ref="A59:D59"/>
    <mergeCell ref="H59:I59"/>
    <mergeCell ref="A60:D60"/>
    <mergeCell ref="H60:I60"/>
    <mergeCell ref="A61:D61"/>
    <mergeCell ref="H61:I61"/>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86:C86"/>
    <mergeCell ref="B87:C87"/>
    <mergeCell ref="B88:C88"/>
    <mergeCell ref="A43:D43"/>
    <mergeCell ref="H43:J43"/>
    <mergeCell ref="A44:D44"/>
    <mergeCell ref="H44:J44"/>
    <mergeCell ref="A45:D45"/>
    <mergeCell ref="H45:J45"/>
    <mergeCell ref="A40:D40"/>
    <mergeCell ref="H40:J40"/>
    <mergeCell ref="A41:D41"/>
    <mergeCell ref="H41:J41"/>
    <mergeCell ref="H42:J42"/>
    <mergeCell ref="A37:D37"/>
    <mergeCell ref="H37:J37"/>
    <mergeCell ref="A38:D38"/>
    <mergeCell ref="H38:J38"/>
    <mergeCell ref="A39:D39"/>
    <mergeCell ref="H39:J39"/>
    <mergeCell ref="A33:D33"/>
    <mergeCell ref="H33:J33"/>
    <mergeCell ref="A34:D34"/>
    <mergeCell ref="H34:J34"/>
    <mergeCell ref="H35:J35"/>
    <mergeCell ref="A36:D36"/>
    <mergeCell ref="H36:J36"/>
    <mergeCell ref="A30:D30"/>
    <mergeCell ref="H30:J30"/>
    <mergeCell ref="A31:D31"/>
    <mergeCell ref="H31:J31"/>
    <mergeCell ref="A32:D32"/>
    <mergeCell ref="H32:J32"/>
    <mergeCell ref="G10:H10"/>
    <mergeCell ref="K10:M10"/>
    <mergeCell ref="G11:H11"/>
    <mergeCell ref="K11:L11"/>
    <mergeCell ref="G12:O12"/>
    <mergeCell ref="B29:D29"/>
    <mergeCell ref="H29:J29"/>
    <mergeCell ref="G5:I5"/>
    <mergeCell ref="H6:N6"/>
    <mergeCell ref="G7:I7"/>
    <mergeCell ref="G8:I8"/>
    <mergeCell ref="K8:M8"/>
    <mergeCell ref="G9:I9"/>
    <mergeCell ref="K9:M9"/>
    <mergeCell ref="B2:D2"/>
    <mergeCell ref="F2:H2"/>
    <mergeCell ref="I2:M2"/>
    <mergeCell ref="G3:J3"/>
    <mergeCell ref="G4:I4"/>
    <mergeCell ref="K4:L4"/>
    <mergeCell ref="R20:Z75"/>
    <mergeCell ref="R13:R17"/>
    <mergeCell ref="S13:Z17"/>
    <mergeCell ref="S7:Z7"/>
    <mergeCell ref="S8:Z8"/>
    <mergeCell ref="S9:Z9"/>
    <mergeCell ref="S10:Z10"/>
    <mergeCell ref="S11:Z11"/>
    <mergeCell ref="S12:Z12"/>
  </mergeCells>
  <conditionalFormatting sqref="B14">
    <cfRule type="expression" dxfId="97" priority="7">
      <formula>ABS($J$14-6) &gt; 6</formula>
    </cfRule>
  </conditionalFormatting>
  <conditionalFormatting sqref="E2">
    <cfRule type="expression" dxfId="96" priority="5">
      <formula>$E$2&lt;0</formula>
    </cfRule>
  </conditionalFormatting>
  <conditionalFormatting sqref="E15:E17">
    <cfRule type="expression" dxfId="95" priority="1">
      <formula>AND($B$4=0,E15&lt;0)</formula>
    </cfRule>
  </conditionalFormatting>
  <conditionalFormatting sqref="K5 K30:K34 K59:K61 K64:K67 K73:K90">
    <cfRule type="expression" dxfId="94" priority="6">
      <formula>K5&gt;$O$2</formula>
    </cfRule>
  </conditionalFormatting>
  <conditionalFormatting sqref="K36:K57">
    <cfRule type="expression" dxfId="93" priority="3">
      <formula>K36&gt;$O$2</formula>
    </cfRule>
  </conditionalFormatting>
  <conditionalFormatting sqref="L57">
    <cfRule type="expression" dxfId="92" priority="2">
      <formula>L57&gt;$O$2</formula>
    </cfRule>
  </conditionalFormatting>
  <conditionalFormatting sqref="L67">
    <cfRule type="expression" dxfId="91" priority="4">
      <formula>L67&lt;0</formula>
    </cfRule>
  </conditionalFormatting>
  <dataValidations count="20">
    <dataValidation type="whole" allowBlank="1" showInputMessage="1" showErrorMessage="1" error="Must be a negative number no less than a 50% of the base hits" sqref="B11" xr:uid="{AB4D4556-F86F-48D0-ABFC-579A1D794CBB}">
      <formula1>-J4/2</formula1>
      <formula2>0</formula2>
    </dataValidation>
    <dataValidation type="whole" allowBlank="1" showInputMessage="1" showErrorMessage="1" error="Must be whole number. No more than 50% of slots may be used for Resiliency" sqref="B10" xr:uid="{056EACEE-A8AE-4B96-9759-B90E72ADCFD4}">
      <formula1>0</formula1>
      <formula2>E4/2</formula2>
    </dataValidation>
    <dataValidation type="whole" allowBlank="1" showInputMessage="1" showErrorMessage="1" sqref="E11" xr:uid="{253AA340-5349-447D-9E4B-5C4CF36D7C94}">
      <formula1>0</formula1>
      <formula2>J4/2</formula2>
    </dataValidation>
    <dataValidation type="list" allowBlank="1" showInputMessage="1" showErrorMessage="1" error="Maximum = 3" sqref="B9" xr:uid="{FB5D21B8-143A-45D9-B7C3-0BDE9C36232A}">
      <formula1>"0,1,2,3"</formula1>
    </dataValidation>
    <dataValidation type="list" allowBlank="1" showInputMessage="1" showErrorMessage="1" sqref="B4" xr:uid="{450DB487-78D2-4DB7-88B9-E0879314E680}">
      <formula1>"0,1,2,3,4,5,6,7,8"</formula1>
    </dataValidation>
    <dataValidation type="list" allowBlank="1" showInputMessage="1" showErrorMessage="1" sqref="O2" xr:uid="{94F57242-4185-4A95-8086-34DD908183C8}">
      <formula1>"7,8,9,10,11,12,13,14,15,16,17,18"</formula1>
    </dataValidation>
    <dataValidation type="whole" allowBlank="1" showInputMessage="1" showErrorMessage="1" error="Max Manipulator Size = Chassis Size +2_x000a_Min Manipulator Size = 0_x000a_Whole Numbers Only" sqref="B19:B26" xr:uid="{6FC2783A-D905-4F0C-9166-76EC93D68B19}">
      <formula1>0</formula1>
      <formula2>$B$4+2</formula2>
    </dataValidation>
    <dataValidation type="list" allowBlank="1" showInputMessage="1" showErrorMessage="1" sqref="B27:B28 B67 B8" xr:uid="{59597756-7574-4ED2-BA1B-2489D4204298}">
      <formula1>"TRUE,FALSE"</formula1>
    </dataValidation>
    <dataValidation type="list" allowBlank="1" showInputMessage="1" showErrorMessage="1" sqref="B13" xr:uid="{0DF3C112-5C5F-44B5-AB88-FC2891A20B84}">
      <formula1>"0,1,2,3,4"</formula1>
    </dataValidation>
    <dataValidation type="list" allowBlank="1" showInputMessage="1" showErrorMessage="1" sqref="D73:D90 B66" xr:uid="{51C37679-24A5-4573-94E0-B719B1CC8688}">
      <formula1>"0,1,2,3"</formula1>
    </dataValidation>
    <dataValidation type="list" allowBlank="1" showInputMessage="1" showErrorMessage="1" sqref="B15" xr:uid="{1D28A634-442C-4D81-9A62-EE94C84D4FA2}">
      <formula1>"FALSE,TRUE"</formula1>
    </dataValidation>
    <dataValidation type="list" allowBlank="1" showInputMessage="1" showErrorMessage="1" sqref="B16" xr:uid="{9E4E9920-AE11-4F68-BA04-DADB761D97BB}">
      <formula1>"No,1X,2X,3X"</formula1>
    </dataValidation>
    <dataValidation type="whole" allowBlank="1" showInputMessage="1" showErrorMessage="1" error="Must be whole number between -6 and +12" sqref="B14" xr:uid="{0CA1037F-1F26-4D41-BCD3-EC75A92E1321}">
      <formula1>-6</formula1>
      <formula2>12</formula2>
    </dataValidation>
    <dataValidation type="whole" allowBlank="1" showInputMessage="1" showErrorMessage="1" sqref="C11:D11" xr:uid="{72D5B71A-06DF-437D-96AD-10A8A13DB3EE}">
      <formula1>0</formula1>
      <formula2>D4/2</formula2>
    </dataValidation>
    <dataValidation type="whole" allowBlank="1" showInputMessage="1" showErrorMessage="1" sqref="C13:D13" xr:uid="{642289C9-01BE-458F-9A67-EDD94A15A76A}">
      <formula1>0</formula1>
      <formula2>D5/2</formula2>
    </dataValidation>
    <dataValidation type="whole" allowBlank="1" showInputMessage="1" showErrorMessage="1" sqref="C14:D14" xr:uid="{4F98533E-732A-474C-9D14-9E8B1D473E7C}">
      <formula1>0</formula1>
      <formula2>D15/2</formula2>
    </dataValidation>
    <dataValidation type="whole" allowBlank="1" showInputMessage="1" showErrorMessage="1" sqref="E13:E14" xr:uid="{E7B9995C-ED9D-4DCD-BE64-1994F36E24C9}">
      <formula1>0</formula1>
      <formula2>#REF!/2</formula2>
    </dataValidation>
    <dataValidation type="whole" allowBlank="1" showInputMessage="1" showErrorMessage="1" error="Max STR = Lesser of Size + TL or SIZE X 4" sqref="G19:G28" xr:uid="{976F904C-7C9F-4992-8AE8-27908DA42F4E}">
      <formula1>0</formula1>
      <formula2>F19-C19</formula2>
    </dataValidation>
    <dataValidation type="whole" allowBlank="1" showInputMessage="1" showErrorMessage="1" error="Max DEX = TL+3" sqref="K19:K28" xr:uid="{ADE94766-FF35-4D39-9C85-4917A1F56C1B}">
      <formula1>0</formula1>
      <formula2>J19-D19</formula2>
    </dataValidation>
    <dataValidation type="whole" allowBlank="1" showInputMessage="1" showErrorMessage="1" error="Total Armour cannot exceed Maximum" sqref="B7" xr:uid="{A661893F-CBBF-4387-BD91-300591AA9FE0}">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F8EFACC1-782F-40ED-8289-D1AEA8B37001}">
          <x14:formula1>
            <xm:f>Options!$C$9:$C$71</xm:f>
          </x14:formula1>
          <xm:sqref>A30:A34</xm:sqref>
        </x14:dataValidation>
        <x14:dataValidation type="list" allowBlank="1" showInputMessage="1" showErrorMessage="1" xr:uid="{47FA429A-7285-4351-82B1-E3CEB673F44E}">
          <x14:formula1>
            <xm:f>Packages!$B$29:$B$82</xm:f>
          </x14:formula1>
          <xm:sqref>A73:A90</xm:sqref>
        </x14:dataValidation>
        <x14:dataValidation type="list" allowBlank="1" showInputMessage="1" showErrorMessage="1" xr:uid="{B7B3E76B-DA88-4410-8282-3888150E704D}">
          <x14:formula1>
            <xm:f>Chassis!$H$3:$H$13</xm:f>
          </x14:formula1>
          <xm:sqref>B17 B5</xm:sqref>
        </x14:dataValidation>
        <x14:dataValidation type="list" allowBlank="1" showInputMessage="1" showErrorMessage="1" xr:uid="{629FA80C-4348-4753-B973-56004DE77A7A}">
          <x14:formula1>
            <xm:f>Packages!$B$11:$B$19</xm:f>
          </x14:formula1>
          <xm:sqref>B70</xm:sqref>
        </x14:dataValidation>
        <x14:dataValidation type="list" allowBlank="1" showInputMessage="1" showErrorMessage="1" xr:uid="{271A3DD3-BBE4-44C4-935E-40591F24532E}">
          <x14:formula1>
            <xm:f>Brains!$B$3:$B$19</xm:f>
          </x14:formula1>
          <xm:sqref>B64</xm:sqref>
        </x14:dataValidation>
        <x14:dataValidation type="list" allowBlank="1" showInputMessage="1" showErrorMessage="1" xr:uid="{CD6D9D22-2ECA-4786-997A-3C41CFCA15C3}">
          <x14:formula1>
            <xm:f>Packages!$B$3:$B$7</xm:f>
          </x14:formula1>
          <xm:sqref>B69</xm:sqref>
        </x14:dataValidation>
        <x14:dataValidation type="list" allowBlank="1" showInputMessage="1" showErrorMessage="1" xr:uid="{44477E8E-DF51-46DE-BF5F-3EFC5D9E03DC}">
          <x14:formula1>
            <xm:f>Packages!$B$23:$B$25</xm:f>
          </x14:formula1>
          <xm:sqref>B71</xm:sqref>
        </x14:dataValidation>
        <x14:dataValidation type="list" allowBlank="1" showInputMessage="1" showErrorMessage="1" xr:uid="{6C4B1978-05B1-45B5-98A7-D65369DE390A}">
          <x14:formula1>
            <xm:f>Brains!$K$3:$K$16</xm:f>
          </x14:formula1>
          <xm:sqref>B65</xm:sqref>
        </x14:dataValidation>
        <x14:dataValidation type="list" allowBlank="1" showInputMessage="1" showErrorMessage="1" xr:uid="{9E56B7DE-0ED3-409D-93C4-DC461544CD40}">
          <x14:formula1>
            <xm:f>Options!$C$9:$C$256</xm:f>
          </x14:formula1>
          <xm:sqref>A36:A56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6976F-1B33-48C9-BF47-CA4CA9F6FD54}">
  <sheetPr>
    <tabColor rgb="FF92D050"/>
  </sheetPr>
  <dimension ref="A1:Z93"/>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834</v>
      </c>
      <c r="C2" s="204"/>
      <c r="D2" s="205"/>
      <c r="E2" s="36">
        <f>SUM(E5:E90)+E4</f>
        <v>0</v>
      </c>
      <c r="F2" s="206" t="s">
        <v>184</v>
      </c>
      <c r="G2" s="207"/>
      <c r="H2" s="208"/>
      <c r="I2" s="203" t="s">
        <v>776</v>
      </c>
      <c r="J2" s="204"/>
      <c r="K2" s="204"/>
      <c r="L2" s="204"/>
      <c r="M2" s="204"/>
      <c r="N2" s="79" t="s">
        <v>315</v>
      </c>
      <c r="O2" s="37">
        <v>10</v>
      </c>
      <c r="P2" s="151">
        <f>Z6</f>
        <v>109400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18</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Basic AutoBerth Cluster (compact)</v>
      </c>
      <c r="S6" s="144">
        <f>M11</f>
        <v>72</v>
      </c>
      <c r="T6" s="144" t="str">
        <f>B5</f>
        <v>None</v>
      </c>
      <c r="U6" s="144" t="str">
        <f>_xlfn.CONCAT(J14," m")</f>
        <v>0 m</v>
      </c>
      <c r="V6" s="145">
        <f>O2</f>
        <v>10</v>
      </c>
      <c r="W6" s="150">
        <f>P91</f>
        <v>121650</v>
      </c>
      <c r="X6" s="152">
        <f>IF(I2="Standard Design",0.1,0)</f>
        <v>0.1</v>
      </c>
      <c r="Y6" s="153">
        <v>2</v>
      </c>
      <c r="Z6" s="148">
        <f>FLOOR(P91*(1-X6),100)</f>
        <v>109400</v>
      </c>
    </row>
    <row r="7" spans="1:26" ht="12" customHeight="1" x14ac:dyDescent="0.4">
      <c r="A7" s="92" t="str">
        <f>IF( B4&gt;0,IF(COUNT(L36:L56)&gt;0,"Armour (Base =  +0)",_xlfn.CONCAT("Armour (Base =  +",_xlfn.XLOOKUP($O$2,Armour[TL],Armour[Base],,,),")")),_xlfn.CONCAT("Armour (Base =  +",_xlfn.XLOOKUP($O$2,Armour[TL],Armour[Base],,,)-2,")"))</f>
        <v>Armour (Base =  +3)</v>
      </c>
      <c r="B7" s="29">
        <v>0</v>
      </c>
      <c r="E7" s="115" cm="1">
        <f t="array" ref="E7">IF(ROUNDUP(_xlfn.XLOOKUP($O$2,Armour[TL],Armour[Slots]*B7*E4,,,),0)&lt;B7/F7,-ROUNDUP(B7/F7,0),-ROUNDUP(_xlfn.XLOOKUP($O$2,Armour[TL],Armour[Slots]*B7*E4,,,),0))</f>
        <v>0</v>
      </c>
      <c r="F7" s="38">
        <f>_xlfn.XLOOKUP($O$2,Armour[TL],Armour[Max/slot],,,)</f>
        <v>2</v>
      </c>
      <c r="G7" s="209" t="s">
        <v>183</v>
      </c>
      <c r="H7" s="209"/>
      <c r="I7" s="210"/>
      <c r="J7" s="33">
        <f>IF(B4&gt;0,IF(COUNT(L36:L56)&gt;0,B7,_xlfn.XLOOKUP($O$2,Armour[TL],Armour[Base],,,)+B7),_xlfn.XLOOKUP($O$2,Armour[TL],Armour[Base],,,)-2)</f>
        <v>3</v>
      </c>
      <c r="K7" s="93" t="s">
        <v>313</v>
      </c>
      <c r="L7" s="52">
        <f>_xlfn.XLOOKUP($O$2,Armour[TL],Armour[Max],,,)</f>
        <v>30</v>
      </c>
      <c r="N7" s="5" t="str">
        <f>_xlfn.CONCAT("Armour (+",IF(COUNT(L36:L56)&gt;0,0+B7, _xlfn.XLOOKUP($O$2,Armour[TL],Armour[Base],,,)+B7+IF(B4=0,-2,0)),"), ")</f>
        <v xml:space="preserve">Armour (+3), </v>
      </c>
      <c r="P7" s="137" cm="1">
        <f t="array" ref="P7">IF(B7&gt;-1,_xlfn.XLOOKUP($O$2,Armour[TL],-Armour[Cost/Slot]*E7,,,),-P5*0.1)</f>
        <v>0</v>
      </c>
      <c r="R7" s="119" t="s">
        <v>90</v>
      </c>
      <c r="S7" s="162" t="str">
        <f>_xlfn.CONCAT(O9,O13,O19:O28,O30:O34,O36:O57,O64,O69:O71,O73:O90)</f>
        <v xml:space="preserve">Medic 0, </v>
      </c>
      <c r="T7" s="163"/>
      <c r="U7" s="163"/>
      <c r="V7" s="163"/>
      <c r="W7" s="163"/>
      <c r="X7" s="163"/>
      <c r="Y7" s="163"/>
      <c r="Z7" s="164"/>
    </row>
    <row r="8" spans="1:26" ht="12" customHeight="1" x14ac:dyDescent="0.4">
      <c r="A8" s="93" t="s">
        <v>62</v>
      </c>
      <c r="B8" s="30" t="b">
        <v>0</v>
      </c>
      <c r="E8" s="40"/>
      <c r="F8" s="38"/>
      <c r="G8" s="178" t="s">
        <v>302</v>
      </c>
      <c r="H8" s="178"/>
      <c r="I8" s="179"/>
      <c r="J8" s="52">
        <f>_xlfn.XLOOKUP(B5,Locomotion[Locomotion],Locomotion[Endurance],,,)*(1+B8)*(IF(O2&lt;12,1,IF(O2&lt;15,1.5,2)))/IF(B4=0,24,1)</f>
        <v>216</v>
      </c>
      <c r="K8" s="211" t="s">
        <v>64</v>
      </c>
      <c r="L8" s="212"/>
      <c r="M8" s="213"/>
      <c r="P8" s="137">
        <f>B8*0.5*P5</f>
        <v>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216</v>
      </c>
      <c r="K9" s="177" t="s">
        <v>64</v>
      </c>
      <c r="L9" s="178"/>
      <c r="M9" s="179"/>
      <c r="O9" s="5" t="str">
        <f>IF(B9&gt;0,_xlfn.CONCAT("Athletics (endurance) ",B9,", "),"")</f>
        <v/>
      </c>
      <c r="P9" s="137">
        <f>-500*E9</f>
        <v>0</v>
      </c>
      <c r="R9" s="116" t="s">
        <v>49</v>
      </c>
      <c r="S9" s="162" t="str">
        <f>IF(COUNT(B19:B26)=0,"none",_xlfn.CONCAT(COUNT(B19:B26), " X (STR ",H19," DEX ",L19,")"))</f>
        <v>4 X (STR 5 DEX 6)</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216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(+3),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N/A (INT 4)</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Medical Chamber, Medical Chamber, Medical Chamber, Medical Chamber, Medical Chamber Option: Low berth (basic), Medikit (basic), Storage Compartment (refrigerated), Storage Compartment (standard),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216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6</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13</v>
      </c>
      <c r="K19" s="16">
        <v>0</v>
      </c>
      <c r="L19" s="61">
        <f t="shared" ref="L19:L28" si="5">D19+K19</f>
        <v>6</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6</v>
      </c>
      <c r="E20" s="101" cm="1">
        <f t="array" ref="E20">ROUNDUP(_xlfn.IFS($B$4-B20=0,0,$B$4-B20=1,$E$4*0.05,$B$4-B20=2,$E$4*0.08,$B$4-B20=3,$E$4*0.09,$B$4-B20&gt;3,$E$4*0.1,$B$4-B20&lt;0,$E$4*0.1*($B$4-B20)),0)</f>
        <v>13</v>
      </c>
      <c r="F20" s="54">
        <f t="shared" si="1"/>
        <v>10</v>
      </c>
      <c r="G20" s="16"/>
      <c r="H20" s="6">
        <f t="shared" si="2"/>
        <v>5</v>
      </c>
      <c r="I20" s="21">
        <f t="shared" si="3"/>
        <v>-1</v>
      </c>
      <c r="J20" s="54">
        <f t="shared" si="4"/>
        <v>13</v>
      </c>
      <c r="K20" s="16"/>
      <c r="L20" s="6">
        <f t="shared" si="5"/>
        <v>6</v>
      </c>
      <c r="M20" s="21">
        <f t="shared" si="6"/>
        <v>0</v>
      </c>
      <c r="O20" s="5" t="str">
        <f t="shared" si="7"/>
        <v/>
      </c>
      <c r="P20" s="137">
        <f>IF((B20-$B$4)*100&gt;-0.2*$P$5,(B20-$B$4)*100,-0.2*$P$5)+B20*100*(G20)^2+B20*200*(K20)^2</f>
        <v>-500</v>
      </c>
      <c r="R20" s="232" t="s">
        <v>844</v>
      </c>
      <c r="S20" s="233"/>
      <c r="T20" s="233"/>
      <c r="U20" s="233"/>
      <c r="V20" s="233"/>
      <c r="W20" s="233"/>
      <c r="X20" s="233"/>
      <c r="Y20" s="233"/>
      <c r="Z20" s="234"/>
    </row>
    <row r="21" spans="1:26" ht="12" customHeight="1" x14ac:dyDescent="0.35">
      <c r="A21" s="93" t="s">
        <v>52</v>
      </c>
      <c r="B21" s="30">
        <v>3</v>
      </c>
      <c r="C21" s="6">
        <f t="shared" si="0"/>
        <v>5</v>
      </c>
      <c r="D21" s="97">
        <f t="shared" si="8"/>
        <v>6</v>
      </c>
      <c r="E21" s="101" cm="1">
        <f t="array" ref="E21">IF(B21=0,0,ROUNDUP(_xlfn.IFS($B$4-B21=0,-$E$4*0.1,$B$4-B21=1,-$E$4*0.05,$B$4-B21=2,-$E$4*0.02,$B$4-B21=3,-$E$4*0.01,$B$4-B21&gt;3,-$E$4*0.01,$B$4-B21&lt;0,$E$4*0.2*($B$4-B21)),0))</f>
        <v>-2</v>
      </c>
      <c r="F21" s="54">
        <f t="shared" si="1"/>
        <v>10</v>
      </c>
      <c r="G21" s="16"/>
      <c r="H21" s="6">
        <f t="shared" si="2"/>
        <v>5</v>
      </c>
      <c r="I21" s="21">
        <f t="shared" si="3"/>
        <v>-1</v>
      </c>
      <c r="J21" s="54">
        <f t="shared" si="4"/>
        <v>13</v>
      </c>
      <c r="K21" s="16"/>
      <c r="L21" s="6">
        <f t="shared" si="5"/>
        <v>6</v>
      </c>
      <c r="M21" s="21">
        <f t="shared" si="6"/>
        <v>0</v>
      </c>
      <c r="O21" s="5" t="str">
        <f t="shared" si="7"/>
        <v/>
      </c>
      <c r="P21" s="137">
        <f t="shared" ref="P21:P26" si="9">(B21)*100+B21*100*(G21)^2+B21*200*(K21)^2</f>
        <v>300</v>
      </c>
      <c r="R21" s="235"/>
      <c r="S21" s="236"/>
      <c r="T21" s="236"/>
      <c r="U21" s="236"/>
      <c r="V21" s="236"/>
      <c r="W21" s="236"/>
      <c r="X21" s="236"/>
      <c r="Y21" s="236"/>
      <c r="Z21" s="237"/>
    </row>
    <row r="22" spans="1:26" ht="12" customHeight="1" x14ac:dyDescent="0.35">
      <c r="A22" s="93" t="s">
        <v>53</v>
      </c>
      <c r="B22" s="30">
        <v>3</v>
      </c>
      <c r="C22" s="6">
        <f t="shared" si="0"/>
        <v>5</v>
      </c>
      <c r="D22" s="97">
        <f t="shared" si="8"/>
        <v>6</v>
      </c>
      <c r="E22" s="101" cm="1">
        <f t="array" ref="E22">IF(B22=0,0,ROUNDUP(_xlfn.IFS($B$4-B22=0,-$E$4*0.1,$B$4-B22=1,-$E$4*0.05,$B$4-B22=2,-$E$4*0.02,$B$4-B22=3,-$E$4*0.01,$B$4-B22&gt;3,-$E$4*0.01,$B$4-B22&lt;0,$E$4*0.2*($B$4-B22)),0))</f>
        <v>-2</v>
      </c>
      <c r="F22" s="54">
        <f t="shared" si="1"/>
        <v>10</v>
      </c>
      <c r="G22" s="16"/>
      <c r="H22" s="6">
        <f t="shared" si="2"/>
        <v>5</v>
      </c>
      <c r="I22" s="21">
        <f t="shared" si="3"/>
        <v>-1</v>
      </c>
      <c r="J22" s="54">
        <f t="shared" si="4"/>
        <v>13</v>
      </c>
      <c r="K22" s="16"/>
      <c r="L22" s="6">
        <f t="shared" si="5"/>
        <v>6</v>
      </c>
      <c r="M22" s="21">
        <f t="shared" si="6"/>
        <v>0</v>
      </c>
      <c r="O22" s="5" t="str">
        <f t="shared" si="7"/>
        <v/>
      </c>
      <c r="P22" s="137">
        <f t="shared" si="9"/>
        <v>300</v>
      </c>
      <c r="R22" s="235"/>
      <c r="S22" s="236"/>
      <c r="T22" s="236"/>
      <c r="U22" s="236"/>
      <c r="V22" s="236"/>
      <c r="W22" s="236"/>
      <c r="X22" s="236"/>
      <c r="Y22" s="236"/>
      <c r="Z22" s="237"/>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13</v>
      </c>
      <c r="K23" s="16"/>
      <c r="L23" s="6">
        <f t="shared" si="5"/>
        <v>0</v>
      </c>
      <c r="M23" s="21">
        <f t="shared" si="6"/>
        <v>-2</v>
      </c>
      <c r="O23" s="5" t="str">
        <f t="shared" si="7"/>
        <v/>
      </c>
      <c r="P23" s="137">
        <f t="shared" si="9"/>
        <v>0</v>
      </c>
      <c r="R23" s="235"/>
      <c r="S23" s="236"/>
      <c r="T23" s="236"/>
      <c r="U23" s="236"/>
      <c r="V23" s="236"/>
      <c r="W23" s="236"/>
      <c r="X23" s="236"/>
      <c r="Y23" s="236"/>
      <c r="Z23" s="237"/>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13</v>
      </c>
      <c r="K24" s="16"/>
      <c r="L24" s="6">
        <f t="shared" si="5"/>
        <v>0</v>
      </c>
      <c r="M24" s="21">
        <f t="shared" si="6"/>
        <v>-2</v>
      </c>
      <c r="O24" s="5" t="str">
        <f t="shared" si="7"/>
        <v/>
      </c>
      <c r="P24" s="137">
        <f t="shared" si="9"/>
        <v>0</v>
      </c>
      <c r="R24" s="235"/>
      <c r="S24" s="236"/>
      <c r="T24" s="236"/>
      <c r="U24" s="236"/>
      <c r="V24" s="236"/>
      <c r="W24" s="236"/>
      <c r="X24" s="236"/>
      <c r="Y24" s="236"/>
      <c r="Z24" s="237"/>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13</v>
      </c>
      <c r="K25" s="16"/>
      <c r="L25" s="6">
        <f t="shared" si="5"/>
        <v>0</v>
      </c>
      <c r="M25" s="21">
        <f t="shared" si="6"/>
        <v>-2</v>
      </c>
      <c r="O25" s="5" t="str">
        <f t="shared" si="7"/>
        <v/>
      </c>
      <c r="P25" s="137">
        <f t="shared" si="9"/>
        <v>0</v>
      </c>
      <c r="R25" s="235"/>
      <c r="S25" s="236"/>
      <c r="T25" s="236"/>
      <c r="U25" s="236"/>
      <c r="V25" s="236"/>
      <c r="W25" s="236"/>
      <c r="X25" s="236"/>
      <c r="Y25" s="236"/>
      <c r="Z25" s="237"/>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13</v>
      </c>
      <c r="K26" s="81"/>
      <c r="L26" s="82">
        <f t="shared" si="5"/>
        <v>0</v>
      </c>
      <c r="M26" s="83">
        <f t="shared" si="6"/>
        <v>-2</v>
      </c>
      <c r="O26" s="5" t="str">
        <f t="shared" si="7"/>
        <v/>
      </c>
      <c r="P26" s="137">
        <f t="shared" si="9"/>
        <v>0</v>
      </c>
      <c r="R26" s="235"/>
      <c r="S26" s="236"/>
      <c r="T26" s="236"/>
      <c r="U26" s="236"/>
      <c r="V26" s="236"/>
      <c r="W26" s="236"/>
      <c r="X26" s="236"/>
      <c r="Y26" s="236"/>
      <c r="Z26" s="237"/>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13</v>
      </c>
      <c r="K27" s="86"/>
      <c r="L27" s="87">
        <f t="shared" si="5"/>
        <v>0</v>
      </c>
      <c r="M27" s="88">
        <f t="shared" si="6"/>
        <v>-2</v>
      </c>
      <c r="N27" s="74"/>
      <c r="O27" s="89" t="str">
        <f t="shared" si="7"/>
        <v/>
      </c>
      <c r="P27" s="138">
        <f>(B27)*100*$B$4+B27*$B$4*100*(G27)^2+B27*$B$4*200*(K27)^2</f>
        <v>0</v>
      </c>
      <c r="R27" s="235"/>
      <c r="S27" s="236"/>
      <c r="T27" s="236"/>
      <c r="U27" s="236"/>
      <c r="V27" s="236"/>
      <c r="W27" s="236"/>
      <c r="X27" s="236"/>
      <c r="Y27" s="236"/>
      <c r="Z27" s="237"/>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13</v>
      </c>
      <c r="K28" s="19"/>
      <c r="L28" s="20">
        <f t="shared" si="5"/>
        <v>0</v>
      </c>
      <c r="M28" s="22">
        <f t="shared" si="6"/>
        <v>-2</v>
      </c>
      <c r="N28" s="24"/>
      <c r="O28" s="5" t="str">
        <f t="shared" si="7"/>
        <v/>
      </c>
      <c r="P28" s="136">
        <f>(B28)*100*$B$4+B28*$B$4*100*(G28)^2+B28*$B$4*200*(K28)^2</f>
        <v>0</v>
      </c>
      <c r="R28" s="235"/>
      <c r="S28" s="236"/>
      <c r="T28" s="236"/>
      <c r="U28" s="236"/>
      <c r="V28" s="236"/>
      <c r="W28" s="236"/>
      <c r="X28" s="236"/>
      <c r="Y28" s="236"/>
      <c r="Z28" s="237"/>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235"/>
      <c r="S29" s="236"/>
      <c r="T29" s="236"/>
      <c r="U29" s="236"/>
      <c r="V29" s="236"/>
      <c r="W29" s="236"/>
      <c r="X29" s="236"/>
      <c r="Y29" s="236"/>
      <c r="Z29" s="237"/>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235"/>
      <c r="S30" s="236"/>
      <c r="T30" s="236"/>
      <c r="U30" s="236"/>
      <c r="V30" s="236"/>
      <c r="W30" s="236"/>
      <c r="X30" s="236"/>
      <c r="Y30" s="236"/>
      <c r="Z30" s="237"/>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235"/>
      <c r="S31" s="236"/>
      <c r="T31" s="236"/>
      <c r="U31" s="236"/>
      <c r="V31" s="236"/>
      <c r="W31" s="236"/>
      <c r="X31" s="236"/>
      <c r="Y31" s="236"/>
      <c r="Z31" s="237"/>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235"/>
      <c r="S32" s="236"/>
      <c r="T32" s="236"/>
      <c r="U32" s="236"/>
      <c r="V32" s="236"/>
      <c r="W32" s="236"/>
      <c r="X32" s="236"/>
      <c r="Y32" s="236"/>
      <c r="Z32" s="237"/>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235"/>
      <c r="S33" s="236"/>
      <c r="T33" s="236"/>
      <c r="U33" s="236"/>
      <c r="V33" s="236"/>
      <c r="W33" s="236"/>
      <c r="X33" s="236"/>
      <c r="Y33" s="236"/>
      <c r="Z33" s="237"/>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235"/>
      <c r="S34" s="236"/>
      <c r="T34" s="236"/>
      <c r="U34" s="236"/>
      <c r="V34" s="236"/>
      <c r="W34" s="236"/>
      <c r="X34" s="236"/>
      <c r="Y34" s="236"/>
      <c r="Z34" s="237"/>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235"/>
      <c r="S35" s="236"/>
      <c r="T35" s="236"/>
      <c r="U35" s="236"/>
      <c r="V35" s="236"/>
      <c r="W35" s="236"/>
      <c r="X35" s="236"/>
      <c r="Y35" s="236"/>
      <c r="Z35" s="237"/>
    </row>
    <row r="36" spans="1:26" ht="12" customHeight="1" x14ac:dyDescent="0.35">
      <c r="A36" s="197" t="s">
        <v>240</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-32</v>
      </c>
      <c r="F36" s="38">
        <f>IF(_xlfn.XLOOKUP(A36,OptionsTable[Name],OptionsTable[xS],,,)=FALSE,1,IF($B$4&gt;0,$E$4,1))</f>
        <v>1</v>
      </c>
      <c r="G36" s="58">
        <v>32</v>
      </c>
      <c r="H36" s="199" t="str">
        <f>IF(_xlfn.XLOOKUP(A36,OptionsTable[Name],OptionsTable[Notes],,,)="","",_xlfn.XLOOKUP(A36,OptionsTable[Name],OptionsTable[Notes],,,))</f>
        <v>DM+1 to Max skill</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6400</v>
      </c>
      <c r="R36" s="235"/>
      <c r="S36" s="236"/>
      <c r="T36" s="236"/>
      <c r="U36" s="236"/>
      <c r="V36" s="236"/>
      <c r="W36" s="236"/>
      <c r="X36" s="236"/>
      <c r="Y36" s="236"/>
      <c r="Z36" s="237"/>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-32</v>
      </c>
      <c r="F37" s="38">
        <f>IF(_xlfn.XLOOKUP(A37,OptionsTable[Name],OptionsTable[xS],,,)=FALSE,1,IF($B$4&gt;0,$E$4,1))</f>
        <v>1</v>
      </c>
      <c r="G37" s="58">
        <v>32</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6400</v>
      </c>
      <c r="R37" s="235"/>
      <c r="S37" s="236"/>
      <c r="T37" s="236"/>
      <c r="U37" s="236"/>
      <c r="V37" s="236"/>
      <c r="W37" s="236"/>
      <c r="X37" s="236"/>
      <c r="Y37" s="236"/>
      <c r="Z37" s="237"/>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-32</v>
      </c>
      <c r="F38" s="38">
        <f>IF(_xlfn.XLOOKUP(A38,OptionsTable[Name],OptionsTable[xS],,,)=FALSE,1,IF($B$4&gt;0,$E$4,1))</f>
        <v>1</v>
      </c>
      <c r="G38" s="58">
        <v>32</v>
      </c>
      <c r="H38" s="199" t="str">
        <f>IF(_xlfn.XLOOKUP(A38,OptionsTable[Name],OptionsTable[Notes],,,)="","",_xlfn.XLOOKUP(A38,OptionsTable[Name],OptionsTable[Notes],,,))</f>
        <v>DM+1 to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6400</v>
      </c>
      <c r="R38" s="235"/>
      <c r="S38" s="236"/>
      <c r="T38" s="236"/>
      <c r="U38" s="236"/>
      <c r="V38" s="236"/>
      <c r="W38" s="236"/>
      <c r="X38" s="236"/>
      <c r="Y38" s="236"/>
      <c r="Z38" s="237"/>
    </row>
    <row r="39" spans="1:26" ht="12" customHeight="1" x14ac:dyDescent="0.35">
      <c r="A39" s="197" t="s">
        <v>240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-32</v>
      </c>
      <c r="F39" s="38">
        <f>IF(_xlfn.XLOOKUP(A39,OptionsTable[Name],OptionsTable[xS],,,)=FALSE,1,IF($B$4&gt;0,$E$4,1))</f>
        <v>1</v>
      </c>
      <c r="G39" s="58">
        <v>32</v>
      </c>
      <c r="H39" s="199" t="str">
        <f>IF(_xlfn.XLOOKUP(A39,OptionsTable[Name],OptionsTable[Notes],,,)="","",_xlfn.XLOOKUP(A39,OptionsTable[Name],OptionsTable[Notes],,,))</f>
        <v>DM+1 to Max skill</v>
      </c>
      <c r="I39" s="200"/>
      <c r="J39" s="200"/>
      <c r="K39" s="44">
        <f>_xlfn.XLOOKUP(A39,OptionsTable[Name],OptionsTable[TL],,,)</f>
        <v>8</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6400</v>
      </c>
      <c r="R39" s="235"/>
      <c r="S39" s="236"/>
      <c r="T39" s="236"/>
      <c r="U39" s="236"/>
      <c r="V39" s="236"/>
      <c r="W39" s="236"/>
      <c r="X39" s="236"/>
      <c r="Y39" s="236"/>
      <c r="Z39" s="237"/>
    </row>
    <row r="40" spans="1:26" ht="12" customHeight="1" x14ac:dyDescent="0.35">
      <c r="A40" s="197" t="s">
        <v>559</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-32</v>
      </c>
      <c r="F40" s="38">
        <f>IF(_xlfn.XLOOKUP(A40,OptionsTable[Name],OptionsTable[xS],,,)=FALSE,1,IF($B$4&gt;0,$E$4,1))</f>
        <v>1</v>
      </c>
      <c r="G40" s="58">
        <v>4</v>
      </c>
      <c r="H40" s="199" t="str">
        <f>IF(_xlfn.XLOOKUP(A40,OptionsTable[Name],OptionsTable[Notes],,,)="","",_xlfn.XLOOKUP(A40,OptionsTable[Name],OptionsTable[Notes],,,))</f>
        <v/>
      </c>
      <c r="I40" s="200"/>
      <c r="J40" s="200"/>
      <c r="K40" s="44">
        <f>_xlfn.XLOOKUP(A40,OptionsTable[Name],OptionsTable[TL],,,)</f>
        <v>10</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80000</v>
      </c>
      <c r="R40" s="235"/>
      <c r="S40" s="236"/>
      <c r="T40" s="236"/>
      <c r="U40" s="236"/>
      <c r="V40" s="236"/>
      <c r="W40" s="236"/>
      <c r="X40" s="236"/>
      <c r="Y40" s="236"/>
      <c r="Z40" s="237"/>
    </row>
    <row r="41" spans="1:26" ht="12" customHeight="1" x14ac:dyDescent="0.35">
      <c r="A41" s="197" t="s">
        <v>200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-1</v>
      </c>
      <c r="F41" s="38">
        <f>IF(_xlfn.XLOOKUP(A41,OptionsTable[Name],OptionsTable[xS],,,)=FALSE,1,IF($B$4&gt;0,$E$4,1))</f>
        <v>1</v>
      </c>
      <c r="G41" s="58"/>
      <c r="H41" s="199" t="str">
        <f>IF(_xlfn.XLOOKUP(A41,OptionsTable[Name],OptionsTable[Notes],,,)="","",_xlfn.XLOOKUP(A41,OptionsTable[Name],OptionsTable[Notes],,,))</f>
        <v>0 max skill</v>
      </c>
      <c r="I41" s="200"/>
      <c r="J41" s="200"/>
      <c r="K41" s="44">
        <f>_xlfn.XLOOKUP(A41,OptionsTable[Name],OptionsTable[TL],,,)</f>
        <v>8</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1000</v>
      </c>
      <c r="R41" s="235"/>
      <c r="S41" s="236"/>
      <c r="T41" s="236"/>
      <c r="U41" s="236"/>
      <c r="V41" s="236"/>
      <c r="W41" s="236"/>
      <c r="X41" s="236"/>
      <c r="Y41" s="236"/>
      <c r="Z41" s="237"/>
    </row>
    <row r="42" spans="1:26" ht="12" customHeight="1" x14ac:dyDescent="0.35">
      <c r="A42" s="197" t="s">
        <v>190</v>
      </c>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-8</v>
      </c>
      <c r="F42" s="38">
        <f>IF(_xlfn.XLOOKUP(A42,OptionsTable[Name],OptionsTable[xS],,,)=FALSE,1,IF($B$4&gt;0,$E$4,1))</f>
        <v>1</v>
      </c>
      <c r="G42" s="58">
        <v>8</v>
      </c>
      <c r="H42" s="199" t="str">
        <f>IF(_xlfn.XLOOKUP(A42,OptionsTable[Name],OptionsTable[Notes],,,)="","",_xlfn.XLOOKUP(A42,OptionsTable[Name],OptionsTable[Notes],,,))</f>
        <v>2 kg or litres / slot</v>
      </c>
      <c r="I42" s="200"/>
      <c r="J42" s="200"/>
      <c r="K42" s="44">
        <f>_xlfn.XLOOKUP(A42,OptionsTable[Name],OptionsTable[TL],,,)</f>
        <v>6</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800</v>
      </c>
      <c r="R42" s="235"/>
      <c r="S42" s="236"/>
      <c r="T42" s="236"/>
      <c r="U42" s="236"/>
      <c r="V42" s="236"/>
      <c r="W42" s="236"/>
      <c r="X42" s="236"/>
      <c r="Y42" s="236"/>
      <c r="Z42" s="237"/>
    </row>
    <row r="43" spans="1:26" ht="12" customHeight="1" x14ac:dyDescent="0.35">
      <c r="A43" s="30" t="s">
        <v>471</v>
      </c>
      <c r="B43" s="157"/>
      <c r="C43" s="157"/>
      <c r="D43" s="157"/>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-13</v>
      </c>
      <c r="F43" s="38">
        <f>IF(_xlfn.XLOOKUP(A43,OptionsTable[Name],OptionsTable[xS],,,)=FALSE,1,IF($B$4&gt;0,$E$4,1))</f>
        <v>1</v>
      </c>
      <c r="G43" s="58">
        <v>13</v>
      </c>
      <c r="H43" s="199" t="str">
        <f>IF(_xlfn.XLOOKUP(A43,OptionsTable[Name],OptionsTable[Notes],,,)="","",_xlfn.XLOOKUP(A43,OptionsTable[Name],OptionsTable[Notes],,,))</f>
        <v>2 kg or litres / slot</v>
      </c>
      <c r="I43" s="200"/>
      <c r="J43" s="200"/>
      <c r="K43" s="44">
        <f>_xlfn.XLOOKUP(A43,OptionsTable[Name],OptionsTable[TL],,,)</f>
        <v>6</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650</v>
      </c>
      <c r="R43" s="235"/>
      <c r="S43" s="236"/>
      <c r="T43" s="236"/>
      <c r="U43" s="236"/>
      <c r="V43" s="236"/>
      <c r="W43" s="236"/>
      <c r="X43" s="236"/>
      <c r="Y43" s="236"/>
      <c r="Z43" s="237"/>
    </row>
    <row r="44" spans="1:26" ht="12" customHeight="1" x14ac:dyDescent="0.35">
      <c r="A44" s="197"/>
      <c r="B44" s="198"/>
      <c r="C44" s="198"/>
      <c r="D44" s="241"/>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235"/>
      <c r="S44" s="236"/>
      <c r="T44" s="236"/>
      <c r="U44" s="236"/>
      <c r="V44" s="236"/>
      <c r="W44" s="236"/>
      <c r="X44" s="236"/>
      <c r="Y44" s="236"/>
      <c r="Z44" s="237"/>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235"/>
      <c r="S45" s="236"/>
      <c r="T45" s="236"/>
      <c r="U45" s="236"/>
      <c r="V45" s="236"/>
      <c r="W45" s="236"/>
      <c r="X45" s="236"/>
      <c r="Y45" s="236"/>
      <c r="Z45" s="237"/>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235"/>
      <c r="S46" s="236"/>
      <c r="T46" s="236"/>
      <c r="U46" s="236"/>
      <c r="V46" s="236"/>
      <c r="W46" s="236"/>
      <c r="X46" s="236"/>
      <c r="Y46" s="236"/>
      <c r="Z46" s="237"/>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235"/>
      <c r="S47" s="236"/>
      <c r="T47" s="236"/>
      <c r="U47" s="236"/>
      <c r="V47" s="236"/>
      <c r="W47" s="236"/>
      <c r="X47" s="236"/>
      <c r="Y47" s="236"/>
      <c r="Z47" s="237"/>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235"/>
      <c r="S48" s="236"/>
      <c r="T48" s="236"/>
      <c r="U48" s="236"/>
      <c r="V48" s="236"/>
      <c r="W48" s="236"/>
      <c r="X48" s="236"/>
      <c r="Y48" s="236"/>
      <c r="Z48" s="237"/>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235"/>
      <c r="S49" s="236"/>
      <c r="T49" s="236"/>
      <c r="U49" s="236"/>
      <c r="V49" s="236"/>
      <c r="W49" s="236"/>
      <c r="X49" s="236"/>
      <c r="Y49" s="236"/>
      <c r="Z49" s="237"/>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235"/>
      <c r="S50" s="236"/>
      <c r="T50" s="236"/>
      <c r="U50" s="236"/>
      <c r="V50" s="236"/>
      <c r="W50" s="236"/>
      <c r="X50" s="236"/>
      <c r="Y50" s="236"/>
      <c r="Z50" s="237"/>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235"/>
      <c r="S51" s="236"/>
      <c r="T51" s="236"/>
      <c r="U51" s="236"/>
      <c r="V51" s="236"/>
      <c r="W51" s="236"/>
      <c r="X51" s="236"/>
      <c r="Y51" s="236"/>
      <c r="Z51" s="237"/>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235"/>
      <c r="S52" s="236"/>
      <c r="T52" s="236"/>
      <c r="U52" s="236"/>
      <c r="V52" s="236"/>
      <c r="W52" s="236"/>
      <c r="X52" s="236"/>
      <c r="Y52" s="236"/>
      <c r="Z52" s="237"/>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235"/>
      <c r="S53" s="236"/>
      <c r="T53" s="236"/>
      <c r="U53" s="236"/>
      <c r="V53" s="236"/>
      <c r="W53" s="236"/>
      <c r="X53" s="236"/>
      <c r="Y53" s="236"/>
      <c r="Z53" s="237"/>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235"/>
      <c r="S54" s="236"/>
      <c r="T54" s="236"/>
      <c r="U54" s="236"/>
      <c r="V54" s="236"/>
      <c r="W54" s="236"/>
      <c r="X54" s="236"/>
      <c r="Y54" s="236"/>
      <c r="Z54" s="237"/>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235"/>
      <c r="S55" s="236"/>
      <c r="T55" s="236"/>
      <c r="U55" s="236"/>
      <c r="V55" s="236"/>
      <c r="W55" s="236"/>
      <c r="X55" s="236"/>
      <c r="Y55" s="236"/>
      <c r="Z55" s="237"/>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235"/>
      <c r="S56" s="236"/>
      <c r="T56" s="236"/>
      <c r="U56" s="236"/>
      <c r="V56" s="236"/>
      <c r="W56" s="236"/>
      <c r="X56" s="236"/>
      <c r="Y56" s="236"/>
      <c r="Z56" s="237"/>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235"/>
      <c r="S57" s="236"/>
      <c r="T57" s="236"/>
      <c r="U57" s="236"/>
      <c r="V57" s="236"/>
      <c r="W57" s="236"/>
      <c r="X57" s="236"/>
      <c r="Y57" s="236"/>
      <c r="Z57" s="237"/>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235"/>
      <c r="S58" s="236"/>
      <c r="T58" s="236"/>
      <c r="U58" s="236"/>
      <c r="V58" s="236"/>
      <c r="W58" s="236"/>
      <c r="X58" s="236"/>
      <c r="Y58" s="236"/>
      <c r="Z58" s="237"/>
    </row>
    <row r="59" spans="1:26" ht="12" customHeight="1" x14ac:dyDescent="0.35">
      <c r="A59" s="226" t="s">
        <v>359</v>
      </c>
      <c r="B59" s="227"/>
      <c r="C59" s="227"/>
      <c r="D59" s="227"/>
      <c r="E59" s="40"/>
      <c r="F59" s="38"/>
      <c r="G59" s="108"/>
      <c r="H59" s="228"/>
      <c r="I59" s="229"/>
      <c r="J59" s="51"/>
      <c r="K59" s="50"/>
      <c r="L59" s="51"/>
      <c r="M59" s="51"/>
      <c r="N59" s="51"/>
      <c r="P59" s="141"/>
      <c r="R59" s="235"/>
      <c r="S59" s="236"/>
      <c r="T59" s="236"/>
      <c r="U59" s="236"/>
      <c r="V59" s="236"/>
      <c r="W59" s="236"/>
      <c r="X59" s="236"/>
      <c r="Y59" s="236"/>
      <c r="Z59" s="237"/>
    </row>
    <row r="60" spans="1:26" ht="12" customHeight="1" x14ac:dyDescent="0.35">
      <c r="A60" s="197"/>
      <c r="B60" s="198"/>
      <c r="C60" s="198"/>
      <c r="D60" s="198"/>
      <c r="E60" s="40"/>
      <c r="F60" s="38"/>
      <c r="G60" s="58"/>
      <c r="H60" s="199"/>
      <c r="I60" s="219"/>
      <c r="J60" s="23"/>
      <c r="K60" s="45"/>
      <c r="L60" s="23"/>
      <c r="M60" s="23"/>
      <c r="N60" s="23"/>
      <c r="P60" s="142"/>
      <c r="R60" s="235"/>
      <c r="S60" s="236"/>
      <c r="T60" s="236"/>
      <c r="U60" s="236"/>
      <c r="V60" s="236"/>
      <c r="W60" s="236"/>
      <c r="X60" s="236"/>
      <c r="Y60" s="236"/>
      <c r="Z60" s="237"/>
    </row>
    <row r="61" spans="1:26" ht="12" customHeight="1" x14ac:dyDescent="0.35">
      <c r="A61" s="197"/>
      <c r="B61" s="198"/>
      <c r="C61" s="198"/>
      <c r="D61" s="198"/>
      <c r="E61" s="40"/>
      <c r="F61" s="38"/>
      <c r="G61" s="58"/>
      <c r="H61" s="199"/>
      <c r="I61" s="219"/>
      <c r="J61" s="23"/>
      <c r="K61" s="45"/>
      <c r="L61" s="23"/>
      <c r="M61" s="23"/>
      <c r="N61" s="23"/>
      <c r="P61" s="142"/>
      <c r="R61" s="235"/>
      <c r="S61" s="236"/>
      <c r="T61" s="236"/>
      <c r="U61" s="236"/>
      <c r="V61" s="236"/>
      <c r="W61" s="236"/>
      <c r="X61" s="236"/>
      <c r="Y61" s="236"/>
      <c r="Z61" s="237"/>
    </row>
    <row r="62" spans="1:26" ht="12" customHeight="1" thickBot="1" x14ac:dyDescent="0.4">
      <c r="E62" s="40"/>
      <c r="F62" s="38"/>
      <c r="K62" s="40"/>
      <c r="R62" s="235"/>
      <c r="S62" s="236"/>
      <c r="T62" s="236"/>
      <c r="U62" s="236"/>
      <c r="V62" s="236"/>
      <c r="W62" s="236"/>
      <c r="X62" s="236"/>
      <c r="Y62" s="236"/>
      <c r="Z62" s="237"/>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235"/>
      <c r="S63" s="236"/>
      <c r="T63" s="236"/>
      <c r="U63" s="236"/>
      <c r="V63" s="236"/>
      <c r="W63" s="236"/>
      <c r="X63" s="236"/>
      <c r="Y63" s="236"/>
      <c r="Z63" s="237"/>
    </row>
    <row r="64" spans="1:26" ht="12" customHeight="1" x14ac:dyDescent="0.35">
      <c r="A64" s="93" t="s">
        <v>309</v>
      </c>
      <c r="B64" s="226" t="s">
        <v>76</v>
      </c>
      <c r="C64" s="227"/>
      <c r="D64" s="227"/>
      <c r="E64" s="40">
        <f>IF(L64+K64-O2&gt;B4,-1,0)</f>
        <v>0</v>
      </c>
      <c r="F64" s="38"/>
      <c r="H64" s="1">
        <f>_xlfn.XLOOKUP(B64,Brains[Programming/Control],Brains[Base INT],,,)</f>
        <v>4</v>
      </c>
      <c r="I64" s="31">
        <f>IF(H64&gt;17,4,IF(H64&gt;14,3,IF(H64&gt;11,2,IF(H64&gt;8,1,IF(H64&gt;5,0,IF(H64&gt;2,-1,-2))))))</f>
        <v>-1</v>
      </c>
      <c r="J64" s="1">
        <f>_xlfn.XLOOKUP(B64,Brains[Programming/Control],Brains[Computer/X],,,)</f>
        <v>1</v>
      </c>
      <c r="K64" s="44">
        <f>_xlfn.XLOOKUP(B64,Brains[Programming/Control],Brains[TL],,,)</f>
        <v>10</v>
      </c>
      <c r="L64">
        <f>_xlfn.XLOOKUP(B64,Brains[Programming/Control],Brains[Computer/X],,,)</f>
        <v>1</v>
      </c>
      <c r="M64" s="12" t="str">
        <f>_xlfn.XLOOKUP(B64,Brains[Programming/Control],Brains[Base capability (built-in no bandwidth, cumulative)],,,)</f>
        <v>Limited language, Security/0</v>
      </c>
      <c r="N64" s="12"/>
      <c r="O64" s="12" t="str">
        <f>IF(_xlfn.XLOOKUP(B64,Brains[Programming/Control],Brains[Skill],,,)="","",_xlfn.XLOOKUP(B64,Brains[Programming/Control],Brains[Skill],,,))</f>
        <v/>
      </c>
      <c r="P64" s="137">
        <f>_xlfn.XLOOKUP(B64,Brains[Programming/Control],Brains[Cost],,,)*IF(L64&gt;2,2/(2)^(1+O2-K64),1)</f>
        <v>4000</v>
      </c>
      <c r="R64" s="235"/>
      <c r="S64" s="236"/>
      <c r="T64" s="236"/>
      <c r="U64" s="236"/>
      <c r="V64" s="236"/>
      <c r="W64" s="236"/>
      <c r="X64" s="236"/>
      <c r="Y64" s="236"/>
      <c r="Z64" s="237"/>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1</v>
      </c>
      <c r="M65" t="s">
        <v>310</v>
      </c>
      <c r="P65" s="137">
        <f>_xlfn.XLOOKUP(B65,Bandwidth[Minimum Base Brain],Bandwidth[Cost],,,)</f>
        <v>0</v>
      </c>
      <c r="R65" s="235"/>
      <c r="S65" s="236"/>
      <c r="T65" s="236"/>
      <c r="U65" s="236"/>
      <c r="V65" s="236"/>
      <c r="W65" s="236"/>
      <c r="X65" s="236"/>
      <c r="Y65" s="236"/>
      <c r="Z65" s="237"/>
    </row>
    <row r="66" spans="1:26" ht="12" customHeight="1" x14ac:dyDescent="0.35">
      <c r="A66" s="93" t="s">
        <v>708</v>
      </c>
      <c r="B66" s="29">
        <v>0</v>
      </c>
      <c r="E66" s="40"/>
      <c r="F66" s="38" cm="1">
        <f t="array" ref="F66">_xlfn.IFS(B66=0,0,B66=1,-1,B66=2,-3,B66=3,-6)</f>
        <v>0</v>
      </c>
      <c r="H66" s="6">
        <f>H64+B66</f>
        <v>4</v>
      </c>
      <c r="I66" s="15">
        <f>IF(H66&gt;17,4,IF(H66&gt;14,3,IF(H66&gt;11,2,IF(H66&gt;8,1,IF(H66&gt;5,0,IF(H66&gt;2,-1,-2))))))</f>
        <v>-1</v>
      </c>
      <c r="K66" s="44"/>
      <c r="L66" s="56">
        <f>L65+F66</f>
        <v>1</v>
      </c>
      <c r="M66" t="s">
        <v>310</v>
      </c>
      <c r="P66" s="137" cm="1">
        <f t="array" ref="P66">_xlfn.IFS(B66=0,0,B66=1,(H64+1)*1000,B66=2,(H64+1)*(H64+2)*1000,B66=3,(H64+1)*(H64+2)*(H64+3)*1000)*IF(H66&gt;11,2,1)</f>
        <v>0</v>
      </c>
      <c r="R66" s="235"/>
      <c r="S66" s="236"/>
      <c r="T66" s="236"/>
      <c r="U66" s="236"/>
      <c r="V66" s="236"/>
      <c r="W66" s="236"/>
      <c r="X66" s="236"/>
      <c r="Y66" s="236"/>
      <c r="Z66" s="237"/>
    </row>
    <row r="67" spans="1:26" ht="12" customHeight="1" thickBot="1" x14ac:dyDescent="0.4">
      <c r="A67" s="93" t="s">
        <v>308</v>
      </c>
      <c r="B67" s="28" t="b">
        <v>0</v>
      </c>
      <c r="C67" s="24"/>
      <c r="D67" s="24"/>
      <c r="E67" s="41"/>
      <c r="F67" s="39"/>
      <c r="G67" s="24"/>
      <c r="H67" s="47"/>
      <c r="I67" s="24"/>
      <c r="J67" s="105">
        <f>J64-COUNTIF(G73:G90,0)</f>
        <v>1</v>
      </c>
      <c r="K67" s="43"/>
      <c r="L67" s="57">
        <f>L66-SUM(G69:G90)</f>
        <v>0</v>
      </c>
      <c r="M67" s="24" t="s">
        <v>312</v>
      </c>
      <c r="N67" s="25" t="str">
        <f>IF(B67,"Hardened, ","")</f>
        <v/>
      </c>
      <c r="O67" s="24"/>
      <c r="P67" s="136">
        <f>B67*(P65+P64)*0.5</f>
        <v>0</v>
      </c>
      <c r="R67" s="235"/>
      <c r="S67" s="236"/>
      <c r="T67" s="236"/>
      <c r="U67" s="236"/>
      <c r="V67" s="236"/>
      <c r="W67" s="236"/>
      <c r="X67" s="236"/>
      <c r="Y67" s="236"/>
      <c r="Z67" s="237"/>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235"/>
      <c r="S68" s="236"/>
      <c r="T68" s="236"/>
      <c r="U68" s="236"/>
      <c r="V68" s="236"/>
      <c r="W68" s="236"/>
      <c r="X68" s="236"/>
      <c r="Y68" s="236"/>
      <c r="Z68" s="237"/>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235"/>
      <c r="S69" s="236"/>
      <c r="T69" s="236"/>
      <c r="U69" s="236"/>
      <c r="V69" s="236"/>
      <c r="W69" s="236"/>
      <c r="X69" s="236"/>
      <c r="Y69" s="236"/>
      <c r="Z69" s="237"/>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235"/>
      <c r="S70" s="236"/>
      <c r="T70" s="236"/>
      <c r="U70" s="236"/>
      <c r="V70" s="236"/>
      <c r="W70" s="236"/>
      <c r="X70" s="236"/>
      <c r="Y70" s="236"/>
      <c r="Z70" s="237"/>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235"/>
      <c r="S71" s="236"/>
      <c r="T71" s="236"/>
      <c r="U71" s="236"/>
      <c r="V71" s="236"/>
      <c r="W71" s="236"/>
      <c r="X71" s="236"/>
      <c r="Y71" s="236"/>
      <c r="Z71" s="237"/>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235"/>
      <c r="S72" s="236"/>
      <c r="T72" s="236"/>
      <c r="U72" s="236"/>
      <c r="V72" s="236"/>
      <c r="W72" s="236"/>
      <c r="X72" s="236"/>
      <c r="Y72" s="236"/>
      <c r="Z72" s="237"/>
    </row>
    <row r="73" spans="1:26" ht="12" customHeight="1" x14ac:dyDescent="0.35">
      <c r="A73" s="48" t="s">
        <v>131</v>
      </c>
      <c r="B73" s="228"/>
      <c r="C73" s="229"/>
      <c r="D73" s="58">
        <v>1</v>
      </c>
      <c r="E73" s="40"/>
      <c r="G73" s="59">
        <f>IF(A73="N/A","",D73+_xlfn.XLOOKUP(A73,StandardBrain[Name],StandardBrain[Bandwidth],,,))</f>
        <v>1</v>
      </c>
      <c r="I73" s="59" t="str">
        <f>_xlfn.XLOOKUP(A73,StandardBrain[Name],StandardBrain[Characteristic],,,)</f>
        <v>INT</v>
      </c>
      <c r="K73" s="44">
        <f>_xlfn.XLOOKUP(A73,StandardBrain[Name],StandardBrain[TL],,,)+D73</f>
        <v>10</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0, </v>
      </c>
      <c r="P73" s="137">
        <f>_xlfn.XLOOKUP(A73,StandardBrain[Name],StandardBrain[Cr],,,)*10^(D73)</f>
        <v>2000</v>
      </c>
      <c r="R73" s="235"/>
      <c r="S73" s="236"/>
      <c r="T73" s="236"/>
      <c r="U73" s="236"/>
      <c r="V73" s="236"/>
      <c r="W73" s="236"/>
      <c r="X73" s="236"/>
      <c r="Y73" s="236"/>
      <c r="Z73" s="237"/>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235"/>
      <c r="S74" s="236"/>
      <c r="T74" s="236"/>
      <c r="U74" s="236"/>
      <c r="V74" s="236"/>
      <c r="W74" s="236"/>
      <c r="X74" s="236"/>
      <c r="Y74" s="236"/>
      <c r="Z74" s="237"/>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238"/>
      <c r="S75" s="239"/>
      <c r="T75" s="239"/>
      <c r="U75" s="239"/>
      <c r="V75" s="239"/>
      <c r="W75" s="239"/>
      <c r="X75" s="239"/>
      <c r="Y75" s="239"/>
      <c r="Z75" s="240"/>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121650</v>
      </c>
    </row>
    <row r="92" spans="1:16" ht="12" customHeight="1" thickBot="1" x14ac:dyDescent="0.45">
      <c r="B92" s="111"/>
      <c r="O92" s="149" t="str">
        <f>CONCATENATE("Cost With "&amp;X6*100 &amp; "% Discount")</f>
        <v>Cost With 10% Discount</v>
      </c>
      <c r="P92" s="147">
        <f>P2</f>
        <v>109400</v>
      </c>
    </row>
    <row r="93" spans="1:16" ht="12" customHeight="1" x14ac:dyDescent="0.35">
      <c r="A93" s="110"/>
      <c r="B93" s="112"/>
    </row>
  </sheetData>
  <sortState xmlns:xlrd2="http://schemas.microsoft.com/office/spreadsheetml/2017/richdata2" ref="A36:D41">
    <sortCondition ref="A36:A41"/>
  </sortState>
  <dataConsolidate/>
  <mergeCells count="112">
    <mergeCell ref="B2:D2"/>
    <mergeCell ref="F2:H2"/>
    <mergeCell ref="I2:M2"/>
    <mergeCell ref="G3:J3"/>
    <mergeCell ref="G4:I4"/>
    <mergeCell ref="K4:L4"/>
    <mergeCell ref="G12:O12"/>
    <mergeCell ref="B29:D29"/>
    <mergeCell ref="H29:J29"/>
    <mergeCell ref="G10:H10"/>
    <mergeCell ref="K10:M10"/>
    <mergeCell ref="G11:H11"/>
    <mergeCell ref="K11:L11"/>
    <mergeCell ref="G5:I5"/>
    <mergeCell ref="H6:N6"/>
    <mergeCell ref="G7:I7"/>
    <mergeCell ref="G8:I8"/>
    <mergeCell ref="K8:M8"/>
    <mergeCell ref="G9:I9"/>
    <mergeCell ref="K9:M9"/>
    <mergeCell ref="A30:D30"/>
    <mergeCell ref="H30:J30"/>
    <mergeCell ref="A31:D31"/>
    <mergeCell ref="H31:J31"/>
    <mergeCell ref="A32:D32"/>
    <mergeCell ref="H32:J32"/>
    <mergeCell ref="A44:D44"/>
    <mergeCell ref="H44:J44"/>
    <mergeCell ref="A45:D45"/>
    <mergeCell ref="H45:J45"/>
    <mergeCell ref="A37:D37"/>
    <mergeCell ref="H37:J37"/>
    <mergeCell ref="A38:D38"/>
    <mergeCell ref="H38:J38"/>
    <mergeCell ref="A39:D39"/>
    <mergeCell ref="H39:J39"/>
    <mergeCell ref="A33:D33"/>
    <mergeCell ref="H33:J33"/>
    <mergeCell ref="A34:D34"/>
    <mergeCell ref="H34:J34"/>
    <mergeCell ref="H35:J35"/>
    <mergeCell ref="A36:D36"/>
    <mergeCell ref="H36:J36"/>
    <mergeCell ref="A46:D46"/>
    <mergeCell ref="H46:J46"/>
    <mergeCell ref="A40:D40"/>
    <mergeCell ref="H40:J40"/>
    <mergeCell ref="H41:J41"/>
    <mergeCell ref="H42:J42"/>
    <mergeCell ref="H43:J43"/>
    <mergeCell ref="A41:D41"/>
    <mergeCell ref="A42:D42"/>
    <mergeCell ref="A50:D50"/>
    <mergeCell ref="H50:J50"/>
    <mergeCell ref="A51:D51"/>
    <mergeCell ref="H51:J51"/>
    <mergeCell ref="A52:D52"/>
    <mergeCell ref="H52:J52"/>
    <mergeCell ref="A47:D47"/>
    <mergeCell ref="H47:J47"/>
    <mergeCell ref="A48:D48"/>
    <mergeCell ref="H48:J48"/>
    <mergeCell ref="A49:D49"/>
    <mergeCell ref="H49:J49"/>
    <mergeCell ref="A56:D56"/>
    <mergeCell ref="H56:J56"/>
    <mergeCell ref="A57:D57"/>
    <mergeCell ref="H57:J57"/>
    <mergeCell ref="A59:D59"/>
    <mergeCell ref="H59:I59"/>
    <mergeCell ref="A53:D53"/>
    <mergeCell ref="H53:J53"/>
    <mergeCell ref="A54:D54"/>
    <mergeCell ref="H54:J54"/>
    <mergeCell ref="A55:D55"/>
    <mergeCell ref="H55:J55"/>
    <mergeCell ref="B69:D69"/>
    <mergeCell ref="B70:D70"/>
    <mergeCell ref="B71:D71"/>
    <mergeCell ref="B73:C73"/>
    <mergeCell ref="B74:C74"/>
    <mergeCell ref="B75:C75"/>
    <mergeCell ref="A60:D60"/>
    <mergeCell ref="H60:I60"/>
    <mergeCell ref="A61:D61"/>
    <mergeCell ref="H61:I61"/>
    <mergeCell ref="B64:D64"/>
    <mergeCell ref="B65:D65"/>
    <mergeCell ref="R20:Z75"/>
    <mergeCell ref="S11:Z11"/>
    <mergeCell ref="S12:Z12"/>
    <mergeCell ref="S13:Z17"/>
    <mergeCell ref="B88:C88"/>
    <mergeCell ref="B89:C89"/>
    <mergeCell ref="B90:C90"/>
    <mergeCell ref="R13:R17"/>
    <mergeCell ref="S7:Z7"/>
    <mergeCell ref="S8:Z8"/>
    <mergeCell ref="S9:Z9"/>
    <mergeCell ref="S10:Z10"/>
    <mergeCell ref="B82:C82"/>
    <mergeCell ref="B83:C83"/>
    <mergeCell ref="B84:C84"/>
    <mergeCell ref="B85:C85"/>
    <mergeCell ref="B86:C86"/>
    <mergeCell ref="B87:C87"/>
    <mergeCell ref="B76:C76"/>
    <mergeCell ref="B77:C77"/>
    <mergeCell ref="B78:C78"/>
    <mergeCell ref="B79:C79"/>
    <mergeCell ref="B80:C80"/>
    <mergeCell ref="B81:C81"/>
  </mergeCells>
  <conditionalFormatting sqref="B14">
    <cfRule type="expression" dxfId="90" priority="7">
      <formula>ABS($J$14-6) &gt; 6</formula>
    </cfRule>
  </conditionalFormatting>
  <conditionalFormatting sqref="E2">
    <cfRule type="expression" dxfId="89" priority="5">
      <formula>$E$2&lt;0</formula>
    </cfRule>
  </conditionalFormatting>
  <conditionalFormatting sqref="E15:E17">
    <cfRule type="expression" dxfId="88" priority="1">
      <formula>AND($B$4=0,E15&lt;0)</formula>
    </cfRule>
  </conditionalFormatting>
  <conditionalFormatting sqref="K5 K30:K34 K36:K57 K59:K61 K64:K67 K73:K90">
    <cfRule type="expression" dxfId="87" priority="6">
      <formula>K5&gt;$O$2</formula>
    </cfRule>
  </conditionalFormatting>
  <conditionalFormatting sqref="L57">
    <cfRule type="expression" dxfId="86" priority="2">
      <formula>L57&gt;$O$2</formula>
    </cfRule>
  </conditionalFormatting>
  <conditionalFormatting sqref="L67">
    <cfRule type="expression" dxfId="85" priority="4">
      <formula>L67&lt;0</formula>
    </cfRule>
  </conditionalFormatting>
  <dataValidations count="20">
    <dataValidation type="whole" allowBlank="1" showInputMessage="1" showErrorMessage="1" error="Must be a negative number no less than a 50% of the base hits" sqref="B11" xr:uid="{15BF79D4-77A0-4724-B7F1-F944536FC8FC}">
      <formula1>-J4/2</formula1>
      <formula2>0</formula2>
    </dataValidation>
    <dataValidation type="whole" allowBlank="1" showInputMessage="1" showErrorMessage="1" error="Must be whole number. No more than 50% of slots may be used for Resiliency" sqref="B10" xr:uid="{BA84EA74-BF5A-40A7-9FB8-C70A4574E52E}">
      <formula1>0</formula1>
      <formula2>E4/2</formula2>
    </dataValidation>
    <dataValidation type="whole" allowBlank="1" showInputMessage="1" showErrorMessage="1" sqref="E11" xr:uid="{BC032061-D2E5-43D0-97F5-C0A011206AAC}">
      <formula1>0</formula1>
      <formula2>J4/2</formula2>
    </dataValidation>
    <dataValidation type="list" allowBlank="1" showInputMessage="1" showErrorMessage="1" error="Maximum = 3" sqref="B9" xr:uid="{B3EBC923-A73D-49BD-8F09-CCC761BF91C6}">
      <formula1>"0,1,2,3"</formula1>
    </dataValidation>
    <dataValidation type="list" allowBlank="1" showInputMessage="1" showErrorMessage="1" sqref="B4" xr:uid="{3038D9E7-38B2-4E10-9D04-5BD8E2EB149F}">
      <formula1>"0,1,2,3,4,5,6,7,8"</formula1>
    </dataValidation>
    <dataValidation type="list" allowBlank="1" showInputMessage="1" showErrorMessage="1" sqref="O2" xr:uid="{E6CE2F04-CDB1-4483-83FF-D60C751B3D99}">
      <formula1>"7,8,9,10,11,12,13,14,15,16,17,18"</formula1>
    </dataValidation>
    <dataValidation type="whole" allowBlank="1" showInputMessage="1" showErrorMessage="1" error="Max Manipulator Size = Chassis Size +2_x000a_Min Manipulator Size = 0_x000a_Whole Numbers Only" sqref="B19:B26" xr:uid="{4236774C-12E8-41E5-9ACF-F4E68DAA6EB3}">
      <formula1>0</formula1>
      <formula2>$B$4+2</formula2>
    </dataValidation>
    <dataValidation type="list" allowBlank="1" showInputMessage="1" showErrorMessage="1" sqref="B27:B28 B67 B8" xr:uid="{B465D074-E10A-4771-83AF-47FCA6EC101B}">
      <formula1>"TRUE,FALSE"</formula1>
    </dataValidation>
    <dataValidation type="list" allowBlank="1" showInputMessage="1" showErrorMessage="1" sqref="B13" xr:uid="{0F520563-B2CA-45C1-B1B4-079C23CF206A}">
      <formula1>"0,1,2,3,4"</formula1>
    </dataValidation>
    <dataValidation type="list" allowBlank="1" showInputMessage="1" showErrorMessage="1" sqref="D73:D90 B66" xr:uid="{2775C544-F0E3-4466-82AB-C4B739DA251B}">
      <formula1>"0,1,2,3"</formula1>
    </dataValidation>
    <dataValidation type="list" allowBlank="1" showInputMessage="1" showErrorMessage="1" sqref="B15" xr:uid="{4F0F5D36-A28B-43A5-8C7A-E79070D1D04B}">
      <formula1>"FALSE,TRUE"</formula1>
    </dataValidation>
    <dataValidation type="list" allowBlank="1" showInputMessage="1" showErrorMessage="1" sqref="B16" xr:uid="{57499871-ADB6-45B4-B607-DEC083E1B37A}">
      <formula1>"No,1X,2X,3X"</formula1>
    </dataValidation>
    <dataValidation type="whole" allowBlank="1" showInputMessage="1" showErrorMessage="1" error="Must be whole number between -6 and +12" sqref="B14" xr:uid="{E21827A6-D798-409B-902E-398051296C24}">
      <formula1>-6</formula1>
      <formula2>12</formula2>
    </dataValidation>
    <dataValidation type="whole" allowBlank="1" showInputMessage="1" showErrorMessage="1" sqref="C11:D11" xr:uid="{9761A290-BEDB-4C59-9DB6-84F75668A8CE}">
      <formula1>0</formula1>
      <formula2>D4/2</formula2>
    </dataValidation>
    <dataValidation type="whole" allowBlank="1" showInputMessage="1" showErrorMessage="1" sqref="C13:D13" xr:uid="{3960393E-ED00-447A-8B2E-5BF61474D19A}">
      <formula1>0</formula1>
      <formula2>D5/2</formula2>
    </dataValidation>
    <dataValidation type="whole" allowBlank="1" showInputMessage="1" showErrorMessage="1" sqref="C14:D14" xr:uid="{AC25755F-9011-4E04-A3CE-7120104BFB10}">
      <formula1>0</formula1>
      <formula2>D15/2</formula2>
    </dataValidation>
    <dataValidation type="whole" allowBlank="1" showInputMessage="1" showErrorMessage="1" sqref="E13:E14" xr:uid="{827B3EB6-7063-4407-BF22-01E011EBFA0B}">
      <formula1>0</formula1>
      <formula2>#REF!/2</formula2>
    </dataValidation>
    <dataValidation type="whole" allowBlank="1" showInputMessage="1" showErrorMessage="1" error="Max STR = Lesser of Size + TL or SIZE X 4" sqref="G19:G28" xr:uid="{7ACA4355-FFB2-4A33-9360-2195134E3257}">
      <formula1>0</formula1>
      <formula2>F19-C19</formula2>
    </dataValidation>
    <dataValidation type="whole" allowBlank="1" showInputMessage="1" showErrorMessage="1" error="Max DEX = TL+3" sqref="K19:K28" xr:uid="{055EC13E-3E30-4FA8-BB2A-C3DEFDE8D39E}">
      <formula1>0</formula1>
      <formula2>J19-D19</formula2>
    </dataValidation>
    <dataValidation type="whole" allowBlank="1" showInputMessage="1" showErrorMessage="1" error="Total Armour cannot exceed Maximum" sqref="B7" xr:uid="{2F7D44C8-504D-4A0A-BD1B-B914060F3C96}">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6E2638E2-F986-473D-82B7-C1F46FFF143F}">
          <x14:formula1>
            <xm:f>Options!$C$9:$C$71</xm:f>
          </x14:formula1>
          <xm:sqref>A30:A34</xm:sqref>
        </x14:dataValidation>
        <x14:dataValidation type="list" allowBlank="1" showInputMessage="1" showErrorMessage="1" xr:uid="{9038D9B8-92FD-422F-AD62-2B8D9AF0FBAA}">
          <x14:formula1>
            <xm:f>Packages!$B$29:$B$82</xm:f>
          </x14:formula1>
          <xm:sqref>A73:A90</xm:sqref>
        </x14:dataValidation>
        <x14:dataValidation type="list" allowBlank="1" showInputMessage="1" showErrorMessage="1" xr:uid="{8AA29F71-8F65-4C2F-8112-98E8299B108A}">
          <x14:formula1>
            <xm:f>Chassis!$H$3:$H$13</xm:f>
          </x14:formula1>
          <xm:sqref>B17 B5</xm:sqref>
        </x14:dataValidation>
        <x14:dataValidation type="list" allowBlank="1" showInputMessage="1" showErrorMessage="1" xr:uid="{ACDD7B82-04D4-48CB-BB0D-976C7179671D}">
          <x14:formula1>
            <xm:f>Packages!$B$11:$B$19</xm:f>
          </x14:formula1>
          <xm:sqref>B70</xm:sqref>
        </x14:dataValidation>
        <x14:dataValidation type="list" allowBlank="1" showInputMessage="1" showErrorMessage="1" xr:uid="{5439BC6F-A172-4924-8307-83B3DF36F384}">
          <x14:formula1>
            <xm:f>Brains!$B$3:$B$19</xm:f>
          </x14:formula1>
          <xm:sqref>B64</xm:sqref>
        </x14:dataValidation>
        <x14:dataValidation type="list" allowBlank="1" showInputMessage="1" showErrorMessage="1" xr:uid="{F367C58E-2E07-487A-AB84-D96035B4F130}">
          <x14:formula1>
            <xm:f>Packages!$B$3:$B$7</xm:f>
          </x14:formula1>
          <xm:sqref>B69</xm:sqref>
        </x14:dataValidation>
        <x14:dataValidation type="list" allowBlank="1" showInputMessage="1" showErrorMessage="1" xr:uid="{493993CF-7A79-4151-AA37-62DDA01919B7}">
          <x14:formula1>
            <xm:f>Packages!$B$23:$B$25</xm:f>
          </x14:formula1>
          <xm:sqref>B71</xm:sqref>
        </x14:dataValidation>
        <x14:dataValidation type="list" allowBlank="1" showInputMessage="1" showErrorMessage="1" xr:uid="{79A40951-A8D1-4922-868A-DEE10DB4367E}">
          <x14:formula1>
            <xm:f>Brains!$K$3:$K$16</xm:f>
          </x14:formula1>
          <xm:sqref>B65</xm:sqref>
        </x14:dataValidation>
        <x14:dataValidation type="list" allowBlank="1" showInputMessage="1" showErrorMessage="1" xr:uid="{248AE0E6-BC45-4FC4-AA09-0463CB34603A}">
          <x14:formula1>
            <xm:f>Options!$C$9:$C$256</xm:f>
          </x14:formula1>
          <xm:sqref>A36:A56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B5D6-229D-4129-8D75-7F8B9907EB60}">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838</v>
      </c>
      <c r="C2" s="204"/>
      <c r="D2" s="205"/>
      <c r="E2" s="36">
        <f>SUM(E5:E90)+E4</f>
        <v>0</v>
      </c>
      <c r="F2" s="206" t="s">
        <v>184</v>
      </c>
      <c r="G2" s="207"/>
      <c r="H2" s="208"/>
      <c r="I2" s="203" t="s">
        <v>776</v>
      </c>
      <c r="J2" s="204"/>
      <c r="K2" s="204"/>
      <c r="L2" s="204"/>
      <c r="M2" s="204"/>
      <c r="N2" s="79" t="s">
        <v>315</v>
      </c>
      <c r="O2" s="37">
        <v>12</v>
      </c>
      <c r="P2" s="151">
        <f>Z6</f>
        <v>141700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20</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Improved AutoBerth Cluster (compact)</v>
      </c>
      <c r="S6" s="144">
        <f>M11</f>
        <v>72</v>
      </c>
      <c r="T6" s="144" t="str">
        <f>B5</f>
        <v>None</v>
      </c>
      <c r="U6" s="144" t="str">
        <f>_xlfn.CONCAT(J14," m")</f>
        <v>0 m</v>
      </c>
      <c r="V6" s="145">
        <f>O2</f>
        <v>12</v>
      </c>
      <c r="W6" s="150">
        <f>P91</f>
        <v>157550</v>
      </c>
      <c r="X6" s="152">
        <f>IF(I2="Standard Design",0.1,0)</f>
        <v>0.1</v>
      </c>
      <c r="Y6" s="153">
        <v>2</v>
      </c>
      <c r="Z6" s="148">
        <f>FLOOR(P91*(1-X6),100)</f>
        <v>141700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2,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648</v>
      </c>
      <c r="K9" s="177" t="s">
        <v>64</v>
      </c>
      <c r="L9" s="178"/>
      <c r="M9" s="179"/>
      <c r="O9" s="5" t="str">
        <f>IF(B9&gt;0,_xlfn.CONCAT("Athletics (endurance) ",B9,", "),"")</f>
        <v/>
      </c>
      <c r="P9" s="137">
        <f>-500*E9</f>
        <v>0</v>
      </c>
      <c r="R9" s="116" t="s">
        <v>49</v>
      </c>
      <c r="S9" s="162" t="str">
        <f>IF(COUNT(B19:B26)=0,"none",_xlfn.CONCAT(COUNT(B19:B26), " X (STR ",H19," DEX ",L19,")"))</f>
        <v>4 X (STR 5 DEX 7)</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648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8)</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Medical Chamber, Medical Chamber, Medical Chamber Option: Low berth (improved), Medikit (enhanced), Storage Compartment (refrigerated), Storage Compartment (standard),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648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7</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15</v>
      </c>
      <c r="K19" s="16">
        <v>0</v>
      </c>
      <c r="L19" s="61">
        <f t="shared" ref="L19:L28" si="5">D19+K19</f>
        <v>7</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7</v>
      </c>
      <c r="E20" s="101" cm="1">
        <f t="array" ref="E20">ROUNDUP(_xlfn.IFS($B$4-B20=0,0,$B$4-B20=1,$E$4*0.05,$B$4-B20=2,$E$4*0.08,$B$4-B20=3,$E$4*0.09,$B$4-B20&gt;3,$E$4*0.1,$B$4-B20&lt;0,$E$4*0.1*($B$4-B20)),0)</f>
        <v>13</v>
      </c>
      <c r="F20" s="54">
        <f t="shared" si="1"/>
        <v>10</v>
      </c>
      <c r="G20" s="16"/>
      <c r="H20" s="6">
        <f t="shared" si="2"/>
        <v>5</v>
      </c>
      <c r="I20" s="21">
        <f t="shared" si="3"/>
        <v>-1</v>
      </c>
      <c r="J20" s="54">
        <f t="shared" si="4"/>
        <v>15</v>
      </c>
      <c r="K20" s="16"/>
      <c r="L20" s="6">
        <f t="shared" si="5"/>
        <v>7</v>
      </c>
      <c r="M20" s="21">
        <f t="shared" si="6"/>
        <v>0</v>
      </c>
      <c r="O20" s="5" t="str">
        <f t="shared" si="7"/>
        <v/>
      </c>
      <c r="P20" s="137">
        <f>IF((B20-$B$4)*100&gt;-0.2*$P$5,(B20-$B$4)*100,-0.2*$P$5)+B20*100*(G20)^2+B20*200*(K20)^2</f>
        <v>-500</v>
      </c>
      <c r="R20" s="232" t="s">
        <v>851</v>
      </c>
      <c r="S20" s="189"/>
      <c r="T20" s="189"/>
      <c r="U20" s="189"/>
      <c r="V20" s="189"/>
      <c r="W20" s="189"/>
      <c r="X20" s="189"/>
      <c r="Y20" s="189"/>
      <c r="Z20" s="190"/>
    </row>
    <row r="21" spans="1:26" ht="12" customHeight="1" x14ac:dyDescent="0.35">
      <c r="A21" s="93" t="s">
        <v>52</v>
      </c>
      <c r="B21" s="30">
        <v>3</v>
      </c>
      <c r="C21" s="6">
        <f t="shared" si="0"/>
        <v>5</v>
      </c>
      <c r="D21" s="97">
        <f t="shared" si="8"/>
        <v>7</v>
      </c>
      <c r="E21" s="101" cm="1">
        <f t="array" ref="E21">IF(B21=0,0,ROUNDUP(_xlfn.IFS($B$4-B21=0,-$E$4*0.1,$B$4-B21=1,-$E$4*0.05,$B$4-B21=2,-$E$4*0.02,$B$4-B21=3,-$E$4*0.01,$B$4-B21&gt;3,-$E$4*0.01,$B$4-B21&lt;0,$E$4*0.2*($B$4-B21)),0))</f>
        <v>-2</v>
      </c>
      <c r="F21" s="54">
        <f t="shared" si="1"/>
        <v>10</v>
      </c>
      <c r="G21" s="16"/>
      <c r="H21" s="6">
        <f t="shared" si="2"/>
        <v>5</v>
      </c>
      <c r="I21" s="21">
        <f t="shared" si="3"/>
        <v>-1</v>
      </c>
      <c r="J21" s="54">
        <f t="shared" si="4"/>
        <v>15</v>
      </c>
      <c r="K21" s="16"/>
      <c r="L21" s="6">
        <f t="shared" si="5"/>
        <v>7</v>
      </c>
      <c r="M21" s="21">
        <f t="shared" si="6"/>
        <v>0</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7</v>
      </c>
      <c r="E22" s="101" cm="1">
        <f t="array" ref="E22">IF(B22=0,0,ROUNDUP(_xlfn.IFS($B$4-B22=0,-$E$4*0.1,$B$4-B22=1,-$E$4*0.05,$B$4-B22=2,-$E$4*0.02,$B$4-B22=3,-$E$4*0.01,$B$4-B22&gt;3,-$E$4*0.01,$B$4-B22&lt;0,$E$4*0.2*($B$4-B22)),0))</f>
        <v>-2</v>
      </c>
      <c r="F22" s="54">
        <f t="shared" si="1"/>
        <v>10</v>
      </c>
      <c r="G22" s="16"/>
      <c r="H22" s="6">
        <f t="shared" si="2"/>
        <v>5</v>
      </c>
      <c r="I22" s="21">
        <f t="shared" si="3"/>
        <v>-1</v>
      </c>
      <c r="J22" s="54">
        <f t="shared" si="4"/>
        <v>15</v>
      </c>
      <c r="K22" s="16"/>
      <c r="L22" s="6">
        <f t="shared" si="5"/>
        <v>7</v>
      </c>
      <c r="M22" s="21">
        <f t="shared" si="6"/>
        <v>0</v>
      </c>
      <c r="O22" s="5" t="str">
        <f t="shared" si="7"/>
        <v/>
      </c>
      <c r="P22" s="137">
        <f t="shared" si="9"/>
        <v>300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15</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15</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15</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15</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15</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15</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-32</v>
      </c>
      <c r="F37" s="38">
        <f>IF(_xlfn.XLOOKUP(A37,OptionsTable[Name],OptionsTable[xS],,,)=FALSE,1,IF($B$4&gt;0,$E$4,1))</f>
        <v>1</v>
      </c>
      <c r="G37" s="58">
        <v>32</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6400</v>
      </c>
      <c r="R37" s="191"/>
      <c r="S37" s="192"/>
      <c r="T37" s="192"/>
      <c r="U37" s="192"/>
      <c r="V37" s="192"/>
      <c r="W37" s="192"/>
      <c r="X37" s="192"/>
      <c r="Y37" s="192"/>
      <c r="Z37" s="193"/>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-32</v>
      </c>
      <c r="F38" s="38">
        <f>IF(_xlfn.XLOOKUP(A38,OptionsTable[Name],OptionsTable[xS],,,)=FALSE,1,IF($B$4&gt;0,$E$4,1))</f>
        <v>1</v>
      </c>
      <c r="G38" s="58">
        <v>32</v>
      </c>
      <c r="H38" s="199" t="str">
        <f>IF(_xlfn.XLOOKUP(A38,OptionsTable[Name],OptionsTable[Notes],,,)="","",_xlfn.XLOOKUP(A38,OptionsTable[Name],OptionsTable[Notes],,,))</f>
        <v>DM+1 to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6400</v>
      </c>
      <c r="R38" s="191"/>
      <c r="S38" s="192"/>
      <c r="T38" s="192"/>
      <c r="U38" s="192"/>
      <c r="V38" s="192"/>
      <c r="W38" s="192"/>
      <c r="X38" s="192"/>
      <c r="Y38" s="192"/>
      <c r="Z38" s="193"/>
    </row>
    <row r="39" spans="1:26" ht="12" customHeight="1" x14ac:dyDescent="0.35">
      <c r="A39" s="197" t="s">
        <v>240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-32</v>
      </c>
      <c r="F39" s="38">
        <f>IF(_xlfn.XLOOKUP(A39,OptionsTable[Name],OptionsTable[xS],,,)=FALSE,1,IF($B$4&gt;0,$E$4,1))</f>
        <v>1</v>
      </c>
      <c r="G39" s="58">
        <v>32</v>
      </c>
      <c r="H39" s="199" t="str">
        <f>IF(_xlfn.XLOOKUP(A39,OptionsTable[Name],OptionsTable[Notes],,,)="","",_xlfn.XLOOKUP(A39,OptionsTable[Name],OptionsTable[Notes],,,))</f>
        <v>DM+1 to Max skill</v>
      </c>
      <c r="I39" s="200"/>
      <c r="J39" s="200"/>
      <c r="K39" s="44">
        <f>_xlfn.XLOOKUP(A39,OptionsTable[Name],OptionsTable[TL],,,)</f>
        <v>8</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6400</v>
      </c>
      <c r="R39" s="191"/>
      <c r="S39" s="192"/>
      <c r="T39" s="192"/>
      <c r="U39" s="192"/>
      <c r="V39" s="192"/>
      <c r="W39" s="192"/>
      <c r="X39" s="192"/>
      <c r="Y39" s="192"/>
      <c r="Z39" s="193"/>
    </row>
    <row r="40" spans="1:26" ht="12" customHeight="1" x14ac:dyDescent="0.35">
      <c r="A40" s="197" t="s">
        <v>240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-32</v>
      </c>
      <c r="F40" s="38">
        <f>IF(_xlfn.XLOOKUP(A40,OptionsTable[Name],OptionsTable[xS],,,)=FALSE,1,IF($B$4&gt;0,$E$4,1))</f>
        <v>1</v>
      </c>
      <c r="G40" s="58">
        <v>32</v>
      </c>
      <c r="H40" s="199" t="str">
        <f>IF(_xlfn.XLOOKUP(A40,OptionsTable[Name],OptionsTable[Notes],,,)="","",_xlfn.XLOOKUP(A40,OptionsTable[Name],OptionsTable[Notes],,,))</f>
        <v>DM+1 to Max skill</v>
      </c>
      <c r="I40" s="200"/>
      <c r="J40" s="200"/>
      <c r="K40" s="44">
        <f>_xlfn.XLOOKUP(A40,OptionsTable[Name],OptionsTable[TL],,,)</f>
        <v>8</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6400</v>
      </c>
      <c r="R40" s="191"/>
      <c r="S40" s="192"/>
      <c r="T40" s="192"/>
      <c r="U40" s="192"/>
      <c r="V40" s="192"/>
      <c r="W40" s="192"/>
      <c r="X40" s="192"/>
      <c r="Y40" s="192"/>
      <c r="Z40" s="193"/>
    </row>
    <row r="41" spans="1:26" ht="12" customHeight="1" x14ac:dyDescent="0.35">
      <c r="A41" s="197" t="s">
        <v>560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-32</v>
      </c>
      <c r="F41" s="38">
        <f>IF(_xlfn.XLOOKUP(A41,OptionsTable[Name],OptionsTable[xS],,,)=FALSE,1,IF($B$4&gt;0,$E$4,1))</f>
        <v>1</v>
      </c>
      <c r="G41" s="58">
        <v>4</v>
      </c>
      <c r="H41" s="199" t="str">
        <f>IF(_xlfn.XLOOKUP(A41,OptionsTable[Name],OptionsTable[Notes],,,)="","",_xlfn.XLOOKUP(A41,OptionsTable[Name],OptionsTable[Notes],,,))</f>
        <v>DM+1 to revival</v>
      </c>
      <c r="I41" s="200"/>
      <c r="J41" s="200"/>
      <c r="K41" s="44">
        <f>_xlfn.XLOOKUP(A41,OptionsTable[Name],OptionsTable[TL],,,)</f>
        <v>12</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80000</v>
      </c>
      <c r="R41" s="191"/>
      <c r="S41" s="192"/>
      <c r="T41" s="192"/>
      <c r="U41" s="192"/>
      <c r="V41" s="192"/>
      <c r="W41" s="192"/>
      <c r="X41" s="192"/>
      <c r="Y41" s="192"/>
      <c r="Z41" s="193"/>
    </row>
    <row r="42" spans="1:26" ht="12" customHeight="1" x14ac:dyDescent="0.35">
      <c r="A42" s="197" t="s">
        <v>202</v>
      </c>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-1</v>
      </c>
      <c r="F42" s="38">
        <f>IF(_xlfn.XLOOKUP(A42,OptionsTable[Name],OptionsTable[xS],,,)=FALSE,1,IF($B$4&gt;0,$E$4,1))</f>
        <v>1</v>
      </c>
      <c r="G42" s="58"/>
      <c r="H42" s="199" t="str">
        <f>IF(_xlfn.XLOOKUP(A42,OptionsTable[Name],OptionsTable[Notes],,,)="","",_xlfn.XLOOKUP(A42,OptionsTable[Name],OptionsTable[Notes],,,))</f>
        <v>2 max skill</v>
      </c>
      <c r="I42" s="200"/>
      <c r="J42" s="200"/>
      <c r="K42" s="44">
        <f>_xlfn.XLOOKUP(A42,OptionsTable[Name],OptionsTable[TL],,,)</f>
        <v>12</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5000</v>
      </c>
      <c r="R42" s="191"/>
      <c r="S42" s="192"/>
      <c r="T42" s="192"/>
      <c r="U42" s="192"/>
      <c r="V42" s="192"/>
      <c r="W42" s="192"/>
      <c r="X42" s="192"/>
      <c r="Y42" s="192"/>
      <c r="Z42" s="193"/>
    </row>
    <row r="43" spans="1:26" ht="12" customHeight="1" x14ac:dyDescent="0.35">
      <c r="A43" s="197" t="s">
        <v>190</v>
      </c>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-8</v>
      </c>
      <c r="F43" s="38">
        <f>IF(_xlfn.XLOOKUP(A43,OptionsTable[Name],OptionsTable[xS],,,)=FALSE,1,IF($B$4&gt;0,$E$4,1))</f>
        <v>1</v>
      </c>
      <c r="G43" s="58">
        <v>8</v>
      </c>
      <c r="H43" s="199" t="str">
        <f>IF(_xlfn.XLOOKUP(A43,OptionsTable[Name],OptionsTable[Notes],,,)="","",_xlfn.XLOOKUP(A43,OptionsTable[Name],OptionsTable[Notes],,,))</f>
        <v>2 kg or litres / slot</v>
      </c>
      <c r="I43" s="200"/>
      <c r="J43" s="200"/>
      <c r="K43" s="44">
        <f>_xlfn.XLOOKUP(A43,OptionsTable[Name],OptionsTable[TL],,,)</f>
        <v>6</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800</v>
      </c>
      <c r="R43" s="191"/>
      <c r="S43" s="192"/>
      <c r="T43" s="192"/>
      <c r="U43" s="192"/>
      <c r="V43" s="192"/>
      <c r="W43" s="192"/>
      <c r="X43" s="192"/>
      <c r="Y43" s="192"/>
      <c r="Z43" s="193"/>
    </row>
    <row r="44" spans="1:26" ht="12" customHeight="1" x14ac:dyDescent="0.35">
      <c r="A44" s="30" t="s">
        <v>471</v>
      </c>
      <c r="B44" s="157"/>
      <c r="C44" s="157"/>
      <c r="D44" s="15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-11</v>
      </c>
      <c r="F44" s="38">
        <f>IF(_xlfn.XLOOKUP(A44,OptionsTable[Name],OptionsTable[xS],,,)=FALSE,1,IF($B$4&gt;0,$E$4,1))</f>
        <v>1</v>
      </c>
      <c r="G44" s="58">
        <v>11</v>
      </c>
      <c r="H44" s="199" t="str">
        <f>IF(_xlfn.XLOOKUP(A44,OptionsTable[Name],OptionsTable[Notes],,,)="","",_xlfn.XLOOKUP(A44,OptionsTable[Name],OptionsTable[Notes],,,))</f>
        <v>2 kg or litres / slot</v>
      </c>
      <c r="I44" s="200"/>
      <c r="J44" s="200"/>
      <c r="K44" s="44">
        <f>_xlfn.XLOOKUP(A44,OptionsTable[Name],OptionsTable[TL],,,)</f>
        <v>6</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550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2</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8</v>
      </c>
      <c r="I66" s="15">
        <f>IF(H66&gt;17,4,IF(H66&gt;14,3,IF(H66&gt;11,2,IF(H66&gt;8,1,IF(H66&gt;5,0,IF(H66&gt;2,-1,-2))))))</f>
        <v>0</v>
      </c>
      <c r="K66" s="44"/>
      <c r="L66" s="56">
        <f>L65+F66</f>
        <v>2</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2,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157550</v>
      </c>
    </row>
    <row r="92" spans="1:16" ht="12" customHeight="1" thickBot="1" x14ac:dyDescent="0.45">
      <c r="A92" s="7"/>
      <c r="O92" s="149" t="str">
        <f>CONCATENATE("Cost With "&amp;X6*100 &amp; "% Discount")</f>
        <v>Cost With 10% Discount</v>
      </c>
      <c r="P92" s="147">
        <f>P2</f>
        <v>141700</v>
      </c>
    </row>
    <row r="93" spans="1:16" ht="12" customHeight="1" x14ac:dyDescent="0.35">
      <c r="B93" s="110"/>
    </row>
    <row r="94" spans="1:16" ht="12" customHeight="1" x14ac:dyDescent="0.4">
      <c r="B94" s="111"/>
    </row>
    <row r="95" spans="1:16" ht="12" customHeight="1" x14ac:dyDescent="0.35">
      <c r="A95" s="110"/>
      <c r="B95" s="112"/>
    </row>
  </sheetData>
  <dataConsolidate/>
  <mergeCells count="112">
    <mergeCell ref="B74:C74"/>
    <mergeCell ref="B75:C75"/>
    <mergeCell ref="B76:C76"/>
    <mergeCell ref="B77:C77"/>
    <mergeCell ref="B78:C78"/>
    <mergeCell ref="B79:C79"/>
    <mergeCell ref="B64:D64"/>
    <mergeCell ref="B65:D65"/>
    <mergeCell ref="B69:D69"/>
    <mergeCell ref="B70:D70"/>
    <mergeCell ref="B71:D71"/>
    <mergeCell ref="B73:C73"/>
    <mergeCell ref="B86:C86"/>
    <mergeCell ref="B87:C87"/>
    <mergeCell ref="B88:C88"/>
    <mergeCell ref="B89:C89"/>
    <mergeCell ref="B90:C90"/>
    <mergeCell ref="B80:C80"/>
    <mergeCell ref="B81:C81"/>
    <mergeCell ref="B82:C82"/>
    <mergeCell ref="B83:C83"/>
    <mergeCell ref="B84:C84"/>
    <mergeCell ref="B85:C85"/>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H46:J46"/>
    <mergeCell ref="A47:D47"/>
    <mergeCell ref="H47:J47"/>
    <mergeCell ref="A48:D48"/>
    <mergeCell ref="H48:J48"/>
    <mergeCell ref="A43:D43"/>
    <mergeCell ref="H43:J43"/>
    <mergeCell ref="H44:J44"/>
    <mergeCell ref="A45:D45"/>
    <mergeCell ref="H45:J45"/>
    <mergeCell ref="R20:Z75"/>
    <mergeCell ref="G11:H11"/>
    <mergeCell ref="K11:L11"/>
    <mergeCell ref="S11:Z11"/>
    <mergeCell ref="G12:O12"/>
    <mergeCell ref="S12:Z12"/>
    <mergeCell ref="R13:R17"/>
    <mergeCell ref="S13:Z17"/>
    <mergeCell ref="A39:D39"/>
    <mergeCell ref="H39:J39"/>
    <mergeCell ref="A40:D40"/>
    <mergeCell ref="H40:J40"/>
    <mergeCell ref="H41:J41"/>
    <mergeCell ref="H42:J42"/>
    <mergeCell ref="H35:J35"/>
    <mergeCell ref="A36:D36"/>
    <mergeCell ref="H36:J36"/>
    <mergeCell ref="A37:D37"/>
    <mergeCell ref="H37:J37"/>
    <mergeCell ref="A38:D38"/>
    <mergeCell ref="H38:J38"/>
    <mergeCell ref="A41:D41"/>
    <mergeCell ref="A42:D42"/>
    <mergeCell ref="A46:D46"/>
    <mergeCell ref="A32:D32"/>
    <mergeCell ref="H32:J32"/>
    <mergeCell ref="A33:D33"/>
    <mergeCell ref="H33:J33"/>
    <mergeCell ref="A34:D34"/>
    <mergeCell ref="H34:J34"/>
    <mergeCell ref="B29:D29"/>
    <mergeCell ref="H29:J29"/>
    <mergeCell ref="A30:D30"/>
    <mergeCell ref="H30:J30"/>
    <mergeCell ref="A31:D31"/>
    <mergeCell ref="H31:J31"/>
    <mergeCell ref="B2:D2"/>
    <mergeCell ref="F2:H2"/>
    <mergeCell ref="I2:M2"/>
    <mergeCell ref="G3:J3"/>
    <mergeCell ref="G4:I4"/>
    <mergeCell ref="K4:L4"/>
    <mergeCell ref="G10:H10"/>
    <mergeCell ref="K10:M10"/>
    <mergeCell ref="S10:Z10"/>
    <mergeCell ref="G9:I9"/>
    <mergeCell ref="K9:M9"/>
    <mergeCell ref="S9:Z9"/>
    <mergeCell ref="G5:I5"/>
    <mergeCell ref="H6:N6"/>
    <mergeCell ref="G7:I7"/>
    <mergeCell ref="S7:Z7"/>
    <mergeCell ref="G8:I8"/>
    <mergeCell ref="K8:M8"/>
    <mergeCell ref="S8:Z8"/>
  </mergeCells>
  <conditionalFormatting sqref="B14">
    <cfRule type="expression" dxfId="84" priority="6">
      <formula>ABS($J$14-6) &gt; 6</formula>
    </cfRule>
  </conditionalFormatting>
  <conditionalFormatting sqref="E2">
    <cfRule type="expression" dxfId="83" priority="4">
      <formula>$E$2&lt;0</formula>
    </cfRule>
  </conditionalFormatting>
  <conditionalFormatting sqref="E15:E17">
    <cfRule type="expression" dxfId="82" priority="1">
      <formula>AND($B$4=0,E15&lt;0)</formula>
    </cfRule>
  </conditionalFormatting>
  <conditionalFormatting sqref="K5 K30:K34 K36:K57 K59:K61 K64:K67 K73:K90">
    <cfRule type="expression" dxfId="81" priority="5">
      <formula>K5&gt;$O$2</formula>
    </cfRule>
  </conditionalFormatting>
  <conditionalFormatting sqref="L57">
    <cfRule type="expression" dxfId="80" priority="2">
      <formula>L57&gt;$O$2</formula>
    </cfRule>
  </conditionalFormatting>
  <conditionalFormatting sqref="L67">
    <cfRule type="expression" dxfId="79" priority="3">
      <formula>L67&lt;0</formula>
    </cfRule>
  </conditionalFormatting>
  <dataValidations count="20">
    <dataValidation type="whole" allowBlank="1" showInputMessage="1" showErrorMessage="1" error="Must be a negative number no less than a 50% of the base hits" sqref="B11" xr:uid="{2FA1759B-73B6-4CC6-91DB-713DAA7E0903}">
      <formula1>-J4/2</formula1>
      <formula2>0</formula2>
    </dataValidation>
    <dataValidation type="whole" allowBlank="1" showInputMessage="1" showErrorMessage="1" error="Must be whole number. No more than 50% of slots may be used for Resiliency" sqref="B10" xr:uid="{1FD3F1E9-5AD0-4C5E-88C4-C9EB8388CAAF}">
      <formula1>0</formula1>
      <formula2>E4/2</formula2>
    </dataValidation>
    <dataValidation type="whole" allowBlank="1" showInputMessage="1" showErrorMessage="1" sqref="E11" xr:uid="{C13D1BC4-B1F0-4AAE-8C4D-CEC0F163BB61}">
      <formula1>0</formula1>
      <formula2>J4/2</formula2>
    </dataValidation>
    <dataValidation type="list" allowBlank="1" showInputMessage="1" showErrorMessage="1" error="Maximum = 3" sqref="B9" xr:uid="{6D2C0FF4-D241-4BB7-AE56-32A8F70BD872}">
      <formula1>"0,1,2,3"</formula1>
    </dataValidation>
    <dataValidation type="list" allowBlank="1" showInputMessage="1" showErrorMessage="1" sqref="B4" xr:uid="{64476AD8-568E-4650-983F-0AEC2894B72B}">
      <formula1>"0,1,2,3,4,5,6,7,8"</formula1>
    </dataValidation>
    <dataValidation type="list" allowBlank="1" showInputMessage="1" showErrorMessage="1" sqref="O2" xr:uid="{E8CD8A8E-80AE-40CF-A80D-735357DA6730}">
      <formula1>"7,8,9,10,11,12,13,14,15,16,17,18"</formula1>
    </dataValidation>
    <dataValidation type="whole" allowBlank="1" showInputMessage="1" showErrorMessage="1" error="Max Manipulator Size = Chassis Size +2_x000a_Min Manipulator Size = 0_x000a_Whole Numbers Only" sqref="B19:B26" xr:uid="{0F27C4CE-BE49-4EC4-AB0F-B8E45A69F377}">
      <formula1>0</formula1>
      <formula2>$B$4+2</formula2>
    </dataValidation>
    <dataValidation type="list" allowBlank="1" showInputMessage="1" showErrorMessage="1" sqref="B27:B28 B67 B8" xr:uid="{43E4E5B7-F125-4FA6-9F20-DBC0357157AC}">
      <formula1>"TRUE,FALSE"</formula1>
    </dataValidation>
    <dataValidation type="list" allowBlank="1" showInputMessage="1" showErrorMessage="1" sqref="B13" xr:uid="{73CEDEB1-2A9D-4D83-B708-3B71BD7BD74D}">
      <formula1>"0,1,2,3,4"</formula1>
    </dataValidation>
    <dataValidation type="list" allowBlank="1" showInputMessage="1" showErrorMessage="1" sqref="D73:D90 B66" xr:uid="{C7CB20AE-B942-428B-B0F9-7D4D85DB866B}">
      <formula1>"0,1,2,3"</formula1>
    </dataValidation>
    <dataValidation type="list" allowBlank="1" showInputMessage="1" showErrorMessage="1" sqref="B15" xr:uid="{97517BC3-6596-4B6A-B965-79DAB12E9845}">
      <formula1>"FALSE,TRUE"</formula1>
    </dataValidation>
    <dataValidation type="list" allowBlank="1" showInputMessage="1" showErrorMessage="1" sqref="B16" xr:uid="{7DDDABCE-47FB-4862-AE8B-E8A9A59B5B7A}">
      <formula1>"No,1X,2X,3X"</formula1>
    </dataValidation>
    <dataValidation type="whole" allowBlank="1" showInputMessage="1" showErrorMessage="1" error="Must be whole number between -6 and +12" sqref="B14" xr:uid="{6CAFCC6A-FF0F-4E0A-B3C6-16F69546A9D7}">
      <formula1>-6</formula1>
      <formula2>12</formula2>
    </dataValidation>
    <dataValidation type="whole" allowBlank="1" showInputMessage="1" showErrorMessage="1" sqref="C11:D11" xr:uid="{BFC20A6B-EA4D-4A25-A38B-5FB5A5B49A5B}">
      <formula1>0</formula1>
      <formula2>D4/2</formula2>
    </dataValidation>
    <dataValidation type="whole" allowBlank="1" showInputMessage="1" showErrorMessage="1" sqref="C13:D13" xr:uid="{93CE6905-78D7-4A2C-9C54-337FB8F87B58}">
      <formula1>0</formula1>
      <formula2>D5/2</formula2>
    </dataValidation>
    <dataValidation type="whole" allowBlank="1" showInputMessage="1" showErrorMessage="1" sqref="C14:D14" xr:uid="{88875B0C-7A65-4970-BAB5-A2455A0D5091}">
      <formula1>0</formula1>
      <formula2>D15/2</formula2>
    </dataValidation>
    <dataValidation type="whole" allowBlank="1" showInputMessage="1" showErrorMessage="1" sqref="E13:E14" xr:uid="{12846529-BE30-4E21-BA0A-8EE991270D44}">
      <formula1>0</formula1>
      <formula2>#REF!/2</formula2>
    </dataValidation>
    <dataValidation type="whole" allowBlank="1" showInputMessage="1" showErrorMessage="1" error="Max STR = Lesser of Size + TL or SIZE X 4" sqref="G19:G28" xr:uid="{1D6884C9-6D1C-4959-A1C1-DC0EEA80D09A}">
      <formula1>0</formula1>
      <formula2>F19-C19</formula2>
    </dataValidation>
    <dataValidation type="whole" allowBlank="1" showInputMessage="1" showErrorMessage="1" error="Max DEX = TL+3" sqref="K19:K28" xr:uid="{039ED972-E169-4AC2-BEFC-596B471A88EF}">
      <formula1>0</formula1>
      <formula2>J19-D19</formula2>
    </dataValidation>
    <dataValidation type="whole" allowBlank="1" showInputMessage="1" showErrorMessage="1" error="Total Armour cannot exceed Maximum" sqref="B7" xr:uid="{D54863C1-2F37-41CE-9771-6107A26686FB}">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470CD260-A50A-4ECC-A438-2F2549253BC4}">
          <x14:formula1>
            <xm:f>Options!$C$9:$C$256</xm:f>
          </x14:formula1>
          <xm:sqref>A36:A56</xm:sqref>
        </x14:dataValidation>
        <x14:dataValidation type="list" allowBlank="1" showInputMessage="1" showErrorMessage="1" xr:uid="{BD7BA8B7-9AC2-44C5-B402-23CEA72129B2}">
          <x14:formula1>
            <xm:f>Options!$C$9:$C$71</xm:f>
          </x14:formula1>
          <xm:sqref>A30:A34</xm:sqref>
        </x14:dataValidation>
        <x14:dataValidation type="list" allowBlank="1" showInputMessage="1" showErrorMessage="1" xr:uid="{0B4E4A02-705D-438C-80CC-4DCAEDF65E61}">
          <x14:formula1>
            <xm:f>Packages!$B$29:$B$82</xm:f>
          </x14:formula1>
          <xm:sqref>A73:A90</xm:sqref>
        </x14:dataValidation>
        <x14:dataValidation type="list" allowBlank="1" showInputMessage="1" showErrorMessage="1" xr:uid="{5E685935-0760-4DD4-8BB4-2B14E28BAC5A}">
          <x14:formula1>
            <xm:f>Chassis!$H$3:$H$13</xm:f>
          </x14:formula1>
          <xm:sqref>B17 B5</xm:sqref>
        </x14:dataValidation>
        <x14:dataValidation type="list" allowBlank="1" showInputMessage="1" showErrorMessage="1" xr:uid="{E9B43098-2E66-470D-A23F-B37CD4544C84}">
          <x14:formula1>
            <xm:f>Packages!$B$11:$B$19</xm:f>
          </x14:formula1>
          <xm:sqref>B70</xm:sqref>
        </x14:dataValidation>
        <x14:dataValidation type="list" allowBlank="1" showInputMessage="1" showErrorMessage="1" xr:uid="{08FEDB93-A469-45B5-8F2A-9B2873E73437}">
          <x14:formula1>
            <xm:f>Brains!$B$3:$B$19</xm:f>
          </x14:formula1>
          <xm:sqref>B64</xm:sqref>
        </x14:dataValidation>
        <x14:dataValidation type="list" allowBlank="1" showInputMessage="1" showErrorMessage="1" xr:uid="{74767BFF-B086-4610-975B-DFB29008F98F}">
          <x14:formula1>
            <xm:f>Packages!$B$3:$B$7</xm:f>
          </x14:formula1>
          <xm:sqref>B69</xm:sqref>
        </x14:dataValidation>
        <x14:dataValidation type="list" allowBlank="1" showInputMessage="1" showErrorMessage="1" xr:uid="{2AB964BC-9A63-4574-B066-A9C7B5BC6DFB}">
          <x14:formula1>
            <xm:f>Packages!$B$23:$B$25</xm:f>
          </x14:formula1>
          <xm:sqref>B71</xm:sqref>
        </x14:dataValidation>
        <x14:dataValidation type="list" allowBlank="1" showInputMessage="1" showErrorMessage="1" xr:uid="{216E624A-3120-461F-B9FD-F167FC81B226}">
          <x14:formula1>
            <xm:f>Brains!$K$3:$K$16</xm:f>
          </x14:formula1>
          <xm:sqref>B65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0FCD-8884-434C-A94D-878FBF87304A}">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837</v>
      </c>
      <c r="C2" s="204"/>
      <c r="D2" s="205"/>
      <c r="E2" s="36">
        <f>SUM(E5:E90)+E4</f>
        <v>0</v>
      </c>
      <c r="F2" s="206" t="s">
        <v>184</v>
      </c>
      <c r="G2" s="207"/>
      <c r="H2" s="208"/>
      <c r="I2" s="203" t="s">
        <v>776</v>
      </c>
      <c r="J2" s="204"/>
      <c r="K2" s="204"/>
      <c r="L2" s="204"/>
      <c r="M2" s="204"/>
      <c r="N2" s="79" t="s">
        <v>315</v>
      </c>
      <c r="O2" s="37">
        <v>14</v>
      </c>
      <c r="P2" s="151">
        <f>Z6</f>
        <v>158800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22</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Enhanced AutoBerth Cluster (compact)</v>
      </c>
      <c r="S6" s="144">
        <f>M11</f>
        <v>72</v>
      </c>
      <c r="T6" s="144" t="str">
        <f>B5</f>
        <v>None</v>
      </c>
      <c r="U6" s="144" t="str">
        <f>_xlfn.CONCAT(J14," m")</f>
        <v>0 m</v>
      </c>
      <c r="V6" s="145">
        <f>O2</f>
        <v>14</v>
      </c>
      <c r="W6" s="150">
        <f>P91</f>
        <v>176500</v>
      </c>
      <c r="X6" s="152">
        <f>IF(I2="Standard Design",0.1,0)</f>
        <v>0.1</v>
      </c>
      <c r="Y6" s="153">
        <v>2</v>
      </c>
      <c r="Z6" s="148">
        <f>FLOOR(P91*(1-X6),100)</f>
        <v>158800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3,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648</v>
      </c>
      <c r="K9" s="177" t="s">
        <v>64</v>
      </c>
      <c r="L9" s="178"/>
      <c r="M9" s="179"/>
      <c r="O9" s="5" t="str">
        <f>IF(B9&gt;0,_xlfn.CONCAT("Athletics (endurance) ",B9,", "),"")</f>
        <v/>
      </c>
      <c r="P9" s="137">
        <f>-500*E9</f>
        <v>0</v>
      </c>
      <c r="R9" s="116" t="s">
        <v>49</v>
      </c>
      <c r="S9" s="162" t="str">
        <f>IF(COUNT(B19:B26)=0,"none",_xlfn.CONCAT(COUNT(B19:B26), " X (STR ",H19," DEX ",L19,")"))</f>
        <v>4 X (STR 5 DEX 8)</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648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Medical Chamber, Medical Chamber, Medical Chamber Option: Low berth (improved), Medikit (advanced), Storage Compartment (refrigerated), Storage Compartment (standard),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648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8</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17</v>
      </c>
      <c r="K19" s="16">
        <v>0</v>
      </c>
      <c r="L19" s="61">
        <f t="shared" ref="L19:L28" si="5">D19+K19</f>
        <v>8</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8</v>
      </c>
      <c r="E20" s="101" cm="1">
        <f t="array" ref="E20">ROUNDUP(_xlfn.IFS($B$4-B20=0,0,$B$4-B20=1,$E$4*0.05,$B$4-B20=2,$E$4*0.08,$B$4-B20=3,$E$4*0.09,$B$4-B20&gt;3,$E$4*0.1,$B$4-B20&lt;0,$E$4*0.1*($B$4-B20)),0)</f>
        <v>13</v>
      </c>
      <c r="F20" s="54">
        <f t="shared" si="1"/>
        <v>10</v>
      </c>
      <c r="G20" s="16"/>
      <c r="H20" s="6">
        <f t="shared" si="2"/>
        <v>5</v>
      </c>
      <c r="I20" s="21">
        <f t="shared" si="3"/>
        <v>-1</v>
      </c>
      <c r="J20" s="54">
        <f t="shared" si="4"/>
        <v>17</v>
      </c>
      <c r="K20" s="16"/>
      <c r="L20" s="6">
        <f t="shared" si="5"/>
        <v>8</v>
      </c>
      <c r="M20" s="21">
        <f t="shared" si="6"/>
        <v>0</v>
      </c>
      <c r="O20" s="5" t="str">
        <f t="shared" si="7"/>
        <v/>
      </c>
      <c r="P20" s="137">
        <f>IF((B20-$B$4)*100&gt;-0.2*$P$5,(B20-$B$4)*100,-0.2*$P$5)+B20*100*(G20)^2+B20*200*(K20)^2</f>
        <v>-500</v>
      </c>
      <c r="R20" s="232" t="s">
        <v>850</v>
      </c>
      <c r="S20" s="189"/>
      <c r="T20" s="189"/>
      <c r="U20" s="189"/>
      <c r="V20" s="189"/>
      <c r="W20" s="189"/>
      <c r="X20" s="189"/>
      <c r="Y20" s="189"/>
      <c r="Z20" s="190"/>
    </row>
    <row r="21" spans="1:26" ht="12" customHeight="1" x14ac:dyDescent="0.35">
      <c r="A21" s="93" t="s">
        <v>52</v>
      </c>
      <c r="B21" s="30">
        <v>3</v>
      </c>
      <c r="C21" s="6">
        <f t="shared" si="0"/>
        <v>5</v>
      </c>
      <c r="D21" s="97">
        <f t="shared" si="8"/>
        <v>8</v>
      </c>
      <c r="E21" s="101" cm="1">
        <f t="array" ref="E21">IF(B21=0,0,ROUNDUP(_xlfn.IFS($B$4-B21=0,-$E$4*0.1,$B$4-B21=1,-$E$4*0.05,$B$4-B21=2,-$E$4*0.02,$B$4-B21=3,-$E$4*0.01,$B$4-B21&gt;3,-$E$4*0.01,$B$4-B21&lt;0,$E$4*0.2*($B$4-B21)),0))</f>
        <v>-2</v>
      </c>
      <c r="F21" s="54">
        <f t="shared" si="1"/>
        <v>10</v>
      </c>
      <c r="G21" s="16"/>
      <c r="H21" s="6">
        <f t="shared" si="2"/>
        <v>5</v>
      </c>
      <c r="I21" s="21">
        <f t="shared" si="3"/>
        <v>-1</v>
      </c>
      <c r="J21" s="54">
        <f t="shared" si="4"/>
        <v>17</v>
      </c>
      <c r="K21" s="16"/>
      <c r="L21" s="6">
        <f t="shared" si="5"/>
        <v>8</v>
      </c>
      <c r="M21" s="21">
        <f t="shared" si="6"/>
        <v>0</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8</v>
      </c>
      <c r="E22" s="101" cm="1">
        <f t="array" ref="E22">IF(B22=0,0,ROUNDUP(_xlfn.IFS($B$4-B22=0,-$E$4*0.1,$B$4-B22=1,-$E$4*0.05,$B$4-B22=2,-$E$4*0.02,$B$4-B22=3,-$E$4*0.01,$B$4-B22&gt;3,-$E$4*0.01,$B$4-B22&lt;0,$E$4*0.2*($B$4-B22)),0))</f>
        <v>-2</v>
      </c>
      <c r="F22" s="54">
        <f t="shared" si="1"/>
        <v>10</v>
      </c>
      <c r="G22" s="16"/>
      <c r="H22" s="6">
        <f t="shared" si="2"/>
        <v>5</v>
      </c>
      <c r="I22" s="21">
        <f t="shared" si="3"/>
        <v>-1</v>
      </c>
      <c r="J22" s="54">
        <f t="shared" si="4"/>
        <v>17</v>
      </c>
      <c r="K22" s="16"/>
      <c r="L22" s="6">
        <f t="shared" si="5"/>
        <v>8</v>
      </c>
      <c r="M22" s="21">
        <f t="shared" si="6"/>
        <v>0</v>
      </c>
      <c r="O22" s="5" t="str">
        <f t="shared" si="7"/>
        <v/>
      </c>
      <c r="P22" s="137">
        <f t="shared" si="9"/>
        <v>300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17</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17</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17</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17</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17</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17</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-32</v>
      </c>
      <c r="F37" s="38">
        <f>IF(_xlfn.XLOOKUP(A37,OptionsTable[Name],OptionsTable[xS],,,)=FALSE,1,IF($B$4&gt;0,$E$4,1))</f>
        <v>1</v>
      </c>
      <c r="G37" s="58">
        <v>32</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6400</v>
      </c>
      <c r="R37" s="191"/>
      <c r="S37" s="192"/>
      <c r="T37" s="192"/>
      <c r="U37" s="192"/>
      <c r="V37" s="192"/>
      <c r="W37" s="192"/>
      <c r="X37" s="192"/>
      <c r="Y37" s="192"/>
      <c r="Z37" s="193"/>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-32</v>
      </c>
      <c r="F38" s="38">
        <f>IF(_xlfn.XLOOKUP(A38,OptionsTable[Name],OptionsTable[xS],,,)=FALSE,1,IF($B$4&gt;0,$E$4,1))</f>
        <v>1</v>
      </c>
      <c r="G38" s="58">
        <v>32</v>
      </c>
      <c r="H38" s="199" t="str">
        <f>IF(_xlfn.XLOOKUP(A38,OptionsTable[Name],OptionsTable[Notes],,,)="","",_xlfn.XLOOKUP(A38,OptionsTable[Name],OptionsTable[Notes],,,))</f>
        <v>DM+1 to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6400</v>
      </c>
      <c r="R38" s="191"/>
      <c r="S38" s="192"/>
      <c r="T38" s="192"/>
      <c r="U38" s="192"/>
      <c r="V38" s="192"/>
      <c r="W38" s="192"/>
      <c r="X38" s="192"/>
      <c r="Y38" s="192"/>
      <c r="Z38" s="193"/>
    </row>
    <row r="39" spans="1:26" ht="12" customHeight="1" x14ac:dyDescent="0.35">
      <c r="A39" s="197" t="s">
        <v>240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-32</v>
      </c>
      <c r="F39" s="38">
        <f>IF(_xlfn.XLOOKUP(A39,OptionsTable[Name],OptionsTable[xS],,,)=FALSE,1,IF($B$4&gt;0,$E$4,1))</f>
        <v>1</v>
      </c>
      <c r="G39" s="58">
        <v>32</v>
      </c>
      <c r="H39" s="199" t="str">
        <f>IF(_xlfn.XLOOKUP(A39,OptionsTable[Name],OptionsTable[Notes],,,)="","",_xlfn.XLOOKUP(A39,OptionsTable[Name],OptionsTable[Notes],,,))</f>
        <v>DM+1 to Max skill</v>
      </c>
      <c r="I39" s="200"/>
      <c r="J39" s="200"/>
      <c r="K39" s="44">
        <f>_xlfn.XLOOKUP(A39,OptionsTable[Name],OptionsTable[TL],,,)</f>
        <v>8</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6400</v>
      </c>
      <c r="R39" s="191"/>
      <c r="S39" s="192"/>
      <c r="T39" s="192"/>
      <c r="U39" s="192"/>
      <c r="V39" s="192"/>
      <c r="W39" s="192"/>
      <c r="X39" s="192"/>
      <c r="Y39" s="192"/>
      <c r="Z39" s="193"/>
    </row>
    <row r="40" spans="1:26" ht="12" customHeight="1" x14ac:dyDescent="0.35">
      <c r="A40" s="197" t="s">
        <v>240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-32</v>
      </c>
      <c r="F40" s="38">
        <f>IF(_xlfn.XLOOKUP(A40,OptionsTable[Name],OptionsTable[xS],,,)=FALSE,1,IF($B$4&gt;0,$E$4,1))</f>
        <v>1</v>
      </c>
      <c r="G40" s="58">
        <v>32</v>
      </c>
      <c r="H40" s="199" t="str">
        <f>IF(_xlfn.XLOOKUP(A40,OptionsTable[Name],OptionsTable[Notes],,,)="","",_xlfn.XLOOKUP(A40,OptionsTable[Name],OptionsTable[Notes],,,))</f>
        <v>DM+1 to Max skill</v>
      </c>
      <c r="I40" s="200"/>
      <c r="J40" s="200"/>
      <c r="K40" s="44">
        <f>_xlfn.XLOOKUP(A40,OptionsTable[Name],OptionsTable[TL],,,)</f>
        <v>8</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6400</v>
      </c>
      <c r="R40" s="191"/>
      <c r="S40" s="192"/>
      <c r="T40" s="192"/>
      <c r="U40" s="192"/>
      <c r="V40" s="192"/>
      <c r="W40" s="192"/>
      <c r="X40" s="192"/>
      <c r="Y40" s="192"/>
      <c r="Z40" s="193"/>
    </row>
    <row r="41" spans="1:26" ht="12" customHeight="1" x14ac:dyDescent="0.35">
      <c r="A41" s="197" t="s">
        <v>560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-32</v>
      </c>
      <c r="F41" s="38">
        <f>IF(_xlfn.XLOOKUP(A41,OptionsTable[Name],OptionsTable[xS],,,)=FALSE,1,IF($B$4&gt;0,$E$4,1))</f>
        <v>1</v>
      </c>
      <c r="G41" s="58">
        <v>4</v>
      </c>
      <c r="H41" s="199" t="str">
        <f>IF(_xlfn.XLOOKUP(A41,OptionsTable[Name],OptionsTable[Notes],,,)="","",_xlfn.XLOOKUP(A41,OptionsTable[Name],OptionsTable[Notes],,,))</f>
        <v>DM+1 to revival</v>
      </c>
      <c r="I41" s="200"/>
      <c r="J41" s="200"/>
      <c r="K41" s="44">
        <f>_xlfn.XLOOKUP(A41,OptionsTable[Name],OptionsTable[TL],,,)</f>
        <v>12</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80000</v>
      </c>
      <c r="R41" s="191"/>
      <c r="S41" s="192"/>
      <c r="T41" s="192"/>
      <c r="U41" s="192"/>
      <c r="V41" s="192"/>
      <c r="W41" s="192"/>
      <c r="X41" s="192"/>
      <c r="Y41" s="192"/>
      <c r="Z41" s="193"/>
    </row>
    <row r="42" spans="1:26" ht="12" customHeight="1" x14ac:dyDescent="0.35">
      <c r="A42" s="197" t="s">
        <v>203</v>
      </c>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-1</v>
      </c>
      <c r="F42" s="38">
        <f>IF(_xlfn.XLOOKUP(A42,OptionsTable[Name],OptionsTable[xS],,,)=FALSE,1,IF($B$4&gt;0,$E$4,1))</f>
        <v>1</v>
      </c>
      <c r="G42" s="58"/>
      <c r="H42" s="199" t="str">
        <f>IF(_xlfn.XLOOKUP(A42,OptionsTable[Name],OptionsTable[Notes],,,)="","",_xlfn.XLOOKUP(A42,OptionsTable[Name],OptionsTable[Notes],,,))</f>
        <v>3 max skill</v>
      </c>
      <c r="I42" s="200"/>
      <c r="J42" s="200"/>
      <c r="K42" s="44">
        <f>_xlfn.XLOOKUP(A42,OptionsTable[Name],OptionsTable[TL],,,)</f>
        <v>14</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10000</v>
      </c>
      <c r="R42" s="191"/>
      <c r="S42" s="192"/>
      <c r="T42" s="192"/>
      <c r="U42" s="192"/>
      <c r="V42" s="192"/>
      <c r="W42" s="192"/>
      <c r="X42" s="192"/>
      <c r="Y42" s="192"/>
      <c r="Z42" s="193"/>
    </row>
    <row r="43" spans="1:26" ht="12" customHeight="1" x14ac:dyDescent="0.35">
      <c r="A43" s="197" t="s">
        <v>190</v>
      </c>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-8</v>
      </c>
      <c r="F43" s="38">
        <f>IF(_xlfn.XLOOKUP(A43,OptionsTable[Name],OptionsTable[xS],,,)=FALSE,1,IF($B$4&gt;0,$E$4,1))</f>
        <v>1</v>
      </c>
      <c r="G43" s="58">
        <v>8</v>
      </c>
      <c r="H43" s="199" t="str">
        <f>IF(_xlfn.XLOOKUP(A43,OptionsTable[Name],OptionsTable[Notes],,,)="","",_xlfn.XLOOKUP(A43,OptionsTable[Name],OptionsTable[Notes],,,))</f>
        <v>2 kg or litres / slot</v>
      </c>
      <c r="I43" s="200"/>
      <c r="J43" s="200"/>
      <c r="K43" s="44">
        <f>_xlfn.XLOOKUP(A43,OptionsTable[Name],OptionsTable[TL],,,)</f>
        <v>6</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800</v>
      </c>
      <c r="R43" s="191"/>
      <c r="S43" s="192"/>
      <c r="T43" s="192"/>
      <c r="U43" s="192"/>
      <c r="V43" s="192"/>
      <c r="W43" s="192"/>
      <c r="X43" s="192"/>
      <c r="Y43" s="192"/>
      <c r="Z43" s="193"/>
    </row>
    <row r="44" spans="1:26" ht="12" customHeight="1" x14ac:dyDescent="0.35">
      <c r="A44" s="30" t="s">
        <v>471</v>
      </c>
      <c r="B44" s="157"/>
      <c r="C44" s="157"/>
      <c r="D44" s="15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-10</v>
      </c>
      <c r="F44" s="38">
        <f>IF(_xlfn.XLOOKUP(A44,OptionsTable[Name],OptionsTable[xS],,,)=FALSE,1,IF($B$4&gt;0,$E$4,1))</f>
        <v>1</v>
      </c>
      <c r="G44" s="58">
        <v>10</v>
      </c>
      <c r="H44" s="199" t="str">
        <f>IF(_xlfn.XLOOKUP(A44,OptionsTable[Name],OptionsTable[Notes],,,)="","",_xlfn.XLOOKUP(A44,OptionsTable[Name],OptionsTable[Notes],,,))</f>
        <v>2 kg or litres / slot</v>
      </c>
      <c r="I44" s="200"/>
      <c r="J44" s="200"/>
      <c r="K44" s="44">
        <f>_xlfn.XLOOKUP(A44,OptionsTable[Name],OptionsTable[TL],,,)</f>
        <v>6</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500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156</v>
      </c>
      <c r="C65" s="198"/>
      <c r="D65" s="198"/>
      <c r="E65" s="40">
        <f>-_xlfn.XLOOKUP(B65,Bandwidth[Minimum Base Brain],Bandwidth[Slots],,,)</f>
        <v>-1</v>
      </c>
      <c r="F65" s="38"/>
      <c r="K65" s="44">
        <f>_xlfn.XLOOKUP(B65,Bandwidth[Minimum Base Brain],Bandwidth[TL],,,)</f>
        <v>10</v>
      </c>
      <c r="L65">
        <f>_xlfn.XLOOKUP(B65,Bandwidth[Minimum Base Brain],Bandwidth[Bandwidth],,,)+L64</f>
        <v>4</v>
      </c>
      <c r="M65" t="s">
        <v>310</v>
      </c>
      <c r="P65" s="137">
        <f>_xlfn.XLOOKUP(B65,Bandwidth[Minimum Base Brain],Bandwidth[Cost],,,)</f>
        <v>5000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9</v>
      </c>
      <c r="I66" s="15">
        <f>IF(H66&gt;17,4,IF(H66&gt;14,3,IF(H66&gt;11,2,IF(H66&gt;8,1,IF(H66&gt;5,0,IF(H66&gt;2,-1,-2))))))</f>
        <v>1</v>
      </c>
      <c r="K66" s="44"/>
      <c r="L66" s="56">
        <f>L65+F66</f>
        <v>3</v>
      </c>
      <c r="M66" t="s">
        <v>310</v>
      </c>
      <c r="P66" s="137" cm="1">
        <f t="array" ref="P66">_xlfn.IFS(B66=0,0,B66=1,(H64+1)*1000,B66=2,(H64+1)*(H64+2)*1000,B66=3,(H64+1)*(H64+2)*(H64+3)*1000)*IF(H66&gt;11,2,1)</f>
        <v>9000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3,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176500</v>
      </c>
    </row>
    <row r="92" spans="1:16" ht="12" customHeight="1" thickBot="1" x14ac:dyDescent="0.45">
      <c r="A92" s="7"/>
      <c r="O92" s="149" t="str">
        <f>CONCATENATE("Cost With "&amp;X6*100 &amp; "% Discount")</f>
        <v>Cost With 10% Discount</v>
      </c>
      <c r="P92" s="147">
        <f>P2</f>
        <v>158800</v>
      </c>
    </row>
    <row r="93" spans="1:16" ht="12" customHeight="1" x14ac:dyDescent="0.35">
      <c r="B93" s="110"/>
    </row>
    <row r="94" spans="1:16" ht="12" customHeight="1" x14ac:dyDescent="0.4">
      <c r="B94" s="111"/>
    </row>
    <row r="95" spans="1:16" ht="12" customHeight="1" x14ac:dyDescent="0.35">
      <c r="A95" s="110"/>
      <c r="B95" s="112"/>
    </row>
  </sheetData>
  <dataConsolidate/>
  <mergeCells count="112">
    <mergeCell ref="B74:C74"/>
    <mergeCell ref="B75:C75"/>
    <mergeCell ref="B76:C76"/>
    <mergeCell ref="B77:C77"/>
    <mergeCell ref="B78:C78"/>
    <mergeCell ref="B79:C79"/>
    <mergeCell ref="B64:D64"/>
    <mergeCell ref="B65:D65"/>
    <mergeCell ref="B69:D69"/>
    <mergeCell ref="B70:D70"/>
    <mergeCell ref="B71:D71"/>
    <mergeCell ref="B73:C73"/>
    <mergeCell ref="B86:C86"/>
    <mergeCell ref="B87:C87"/>
    <mergeCell ref="B88:C88"/>
    <mergeCell ref="B89:C89"/>
    <mergeCell ref="B90:C90"/>
    <mergeCell ref="B80:C80"/>
    <mergeCell ref="B81:C81"/>
    <mergeCell ref="B82:C82"/>
    <mergeCell ref="B83:C83"/>
    <mergeCell ref="B84:C84"/>
    <mergeCell ref="B85:C85"/>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H46:J46"/>
    <mergeCell ref="A47:D47"/>
    <mergeCell ref="H47:J47"/>
    <mergeCell ref="A48:D48"/>
    <mergeCell ref="H48:J48"/>
    <mergeCell ref="A43:D43"/>
    <mergeCell ref="H43:J43"/>
    <mergeCell ref="H44:J44"/>
    <mergeCell ref="A45:D45"/>
    <mergeCell ref="H45:J45"/>
    <mergeCell ref="R20:Z75"/>
    <mergeCell ref="G11:H11"/>
    <mergeCell ref="K11:L11"/>
    <mergeCell ref="S11:Z11"/>
    <mergeCell ref="G12:O12"/>
    <mergeCell ref="S12:Z12"/>
    <mergeCell ref="R13:R17"/>
    <mergeCell ref="S13:Z17"/>
    <mergeCell ref="A39:D39"/>
    <mergeCell ref="H39:J39"/>
    <mergeCell ref="A40:D40"/>
    <mergeCell ref="H40:J40"/>
    <mergeCell ref="H41:J41"/>
    <mergeCell ref="H42:J42"/>
    <mergeCell ref="H35:J35"/>
    <mergeCell ref="A36:D36"/>
    <mergeCell ref="H36:J36"/>
    <mergeCell ref="A37:D37"/>
    <mergeCell ref="H37:J37"/>
    <mergeCell ref="A38:D38"/>
    <mergeCell ref="H38:J38"/>
    <mergeCell ref="A41:D41"/>
    <mergeCell ref="A42:D42"/>
    <mergeCell ref="A46:D46"/>
    <mergeCell ref="A32:D32"/>
    <mergeCell ref="H32:J32"/>
    <mergeCell ref="A33:D33"/>
    <mergeCell ref="H33:J33"/>
    <mergeCell ref="A34:D34"/>
    <mergeCell ref="H34:J34"/>
    <mergeCell ref="B29:D29"/>
    <mergeCell ref="H29:J29"/>
    <mergeCell ref="A30:D30"/>
    <mergeCell ref="H30:J30"/>
    <mergeCell ref="A31:D31"/>
    <mergeCell ref="H31:J31"/>
    <mergeCell ref="B2:D2"/>
    <mergeCell ref="F2:H2"/>
    <mergeCell ref="I2:M2"/>
    <mergeCell ref="G3:J3"/>
    <mergeCell ref="G4:I4"/>
    <mergeCell ref="K4:L4"/>
    <mergeCell ref="G10:H10"/>
    <mergeCell ref="K10:M10"/>
    <mergeCell ref="S10:Z10"/>
    <mergeCell ref="G9:I9"/>
    <mergeCell ref="K9:M9"/>
    <mergeCell ref="S9:Z9"/>
    <mergeCell ref="G5:I5"/>
    <mergeCell ref="H6:N6"/>
    <mergeCell ref="G7:I7"/>
    <mergeCell ref="S7:Z7"/>
    <mergeCell ref="G8:I8"/>
    <mergeCell ref="K8:M8"/>
    <mergeCell ref="S8:Z8"/>
  </mergeCells>
  <conditionalFormatting sqref="B14">
    <cfRule type="expression" dxfId="78" priority="6">
      <formula>ABS($J$14-6) &gt; 6</formula>
    </cfRule>
  </conditionalFormatting>
  <conditionalFormatting sqref="E2">
    <cfRule type="expression" dxfId="77" priority="4">
      <formula>$E$2&lt;0</formula>
    </cfRule>
  </conditionalFormatting>
  <conditionalFormatting sqref="E15:E17">
    <cfRule type="expression" dxfId="76" priority="1">
      <formula>AND($B$4=0,E15&lt;0)</formula>
    </cfRule>
  </conditionalFormatting>
  <conditionalFormatting sqref="K5 K30:K34 K36:K57 K59:K61 K64:K67 K73:K90">
    <cfRule type="expression" dxfId="75" priority="5">
      <formula>K5&gt;$O$2</formula>
    </cfRule>
  </conditionalFormatting>
  <conditionalFormatting sqref="L57">
    <cfRule type="expression" dxfId="74" priority="2">
      <formula>L57&gt;$O$2</formula>
    </cfRule>
  </conditionalFormatting>
  <conditionalFormatting sqref="L67">
    <cfRule type="expression" dxfId="73" priority="3">
      <formula>L67&lt;0</formula>
    </cfRule>
  </conditionalFormatting>
  <dataValidations count="20">
    <dataValidation type="whole" allowBlank="1" showInputMessage="1" showErrorMessage="1" error="Total Armour cannot exceed Maximum" sqref="B7" xr:uid="{D5963F51-B75F-4181-B297-1DDBA0B27E43}">
      <formula1>-1</formula1>
      <formula2>L7-MID(A7,18,1)</formula2>
    </dataValidation>
    <dataValidation type="whole" allowBlank="1" showInputMessage="1" showErrorMessage="1" error="Max DEX = TL+3" sqref="K19:K28" xr:uid="{70340F7B-71C9-4639-86B6-189115F64BA0}">
      <formula1>0</formula1>
      <formula2>J19-D19</formula2>
    </dataValidation>
    <dataValidation type="whole" allowBlank="1" showInputMessage="1" showErrorMessage="1" error="Max STR = Lesser of Size + TL or SIZE X 4" sqref="G19:G28" xr:uid="{BA27FDC5-2B28-4BB0-9B40-6425AEC28CD1}">
      <formula1>0</formula1>
      <formula2>F19-C19</formula2>
    </dataValidation>
    <dataValidation type="whole" allowBlank="1" showInputMessage="1" showErrorMessage="1" sqref="E13:E14" xr:uid="{83E4747D-57E5-44BD-AE56-FC23E361B832}">
      <formula1>0</formula1>
      <formula2>#REF!/2</formula2>
    </dataValidation>
    <dataValidation type="whole" allowBlank="1" showInputMessage="1" showErrorMessage="1" sqref="C14:D14" xr:uid="{6D7A13EE-56C3-4C4C-9BCB-17417C60052D}">
      <formula1>0</formula1>
      <formula2>D15/2</formula2>
    </dataValidation>
    <dataValidation type="whole" allowBlank="1" showInputMessage="1" showErrorMessage="1" sqref="C13:D13" xr:uid="{7519D4A9-3DD5-4705-BEF8-7C4C5FDAE91A}">
      <formula1>0</formula1>
      <formula2>D5/2</formula2>
    </dataValidation>
    <dataValidation type="whole" allowBlank="1" showInputMessage="1" showErrorMessage="1" sqref="C11:D11" xr:uid="{2A8E66F6-164D-4659-9687-6B8875F2F260}">
      <formula1>0</formula1>
      <formula2>D4/2</formula2>
    </dataValidation>
    <dataValidation type="whole" allowBlank="1" showInputMessage="1" showErrorMessage="1" error="Must be whole number between -6 and +12" sqref="B14" xr:uid="{4A791615-9FA9-4B0A-80CC-E61D87518FCE}">
      <formula1>-6</formula1>
      <formula2>12</formula2>
    </dataValidation>
    <dataValidation type="list" allowBlank="1" showInputMessage="1" showErrorMessage="1" sqref="B16" xr:uid="{1535A0F8-3FEA-46F5-87EA-974E48C52CF1}">
      <formula1>"No,1X,2X,3X"</formula1>
    </dataValidation>
    <dataValidation type="list" allowBlank="1" showInputMessage="1" showErrorMessage="1" sqref="B15" xr:uid="{98CD7976-7853-49D2-8309-A2C48C556B48}">
      <formula1>"FALSE,TRUE"</formula1>
    </dataValidation>
    <dataValidation type="list" allowBlank="1" showInputMessage="1" showErrorMessage="1" sqref="D73:D90 B66" xr:uid="{0E9B426D-C5F1-4D35-AA58-46411BFE2851}">
      <formula1>"0,1,2,3"</formula1>
    </dataValidation>
    <dataValidation type="list" allowBlank="1" showInputMessage="1" showErrorMessage="1" sqref="B13" xr:uid="{5C4CA2E4-F19D-4F90-9401-B9627E5499C1}">
      <formula1>"0,1,2,3,4"</formula1>
    </dataValidation>
    <dataValidation type="list" allowBlank="1" showInputMessage="1" showErrorMessage="1" sqref="B27:B28 B67 B8" xr:uid="{772C8D61-DB91-4861-B138-79FD1EBA3D0C}">
      <formula1>"TRUE,FALSE"</formula1>
    </dataValidation>
    <dataValidation type="whole" allowBlank="1" showInputMessage="1" showErrorMessage="1" error="Max Manipulator Size = Chassis Size +2_x000a_Min Manipulator Size = 0_x000a_Whole Numbers Only" sqref="B19:B26" xr:uid="{404BA781-AADF-4CC7-BB02-416FCC0BA04D}">
      <formula1>0</formula1>
      <formula2>$B$4+2</formula2>
    </dataValidation>
    <dataValidation type="list" allowBlank="1" showInputMessage="1" showErrorMessage="1" sqref="O2" xr:uid="{4D0A1A7E-77F5-4341-A385-4319BAA97EB1}">
      <formula1>"7,8,9,10,11,12,13,14,15,16,17,18"</formula1>
    </dataValidation>
    <dataValidation type="list" allowBlank="1" showInputMessage="1" showErrorMessage="1" sqref="B4" xr:uid="{5BAA22DC-8962-4737-BBA7-79EABC9D997B}">
      <formula1>"0,1,2,3,4,5,6,7,8"</formula1>
    </dataValidation>
    <dataValidation type="list" allowBlank="1" showInputMessage="1" showErrorMessage="1" error="Maximum = 3" sqref="B9" xr:uid="{5F79B998-5B79-4B4D-BEAB-81839BE06337}">
      <formula1>"0,1,2,3"</formula1>
    </dataValidation>
    <dataValidation type="whole" allowBlank="1" showInputMessage="1" showErrorMessage="1" sqref="E11" xr:uid="{BF6F01D6-9650-4FC3-B756-99D8EEB1C58B}">
      <formula1>0</formula1>
      <formula2>J4/2</formula2>
    </dataValidation>
    <dataValidation type="whole" allowBlank="1" showInputMessage="1" showErrorMessage="1" error="Must be whole number. No more than 50% of slots may be used for Resiliency" sqref="B10" xr:uid="{9E8616BB-21E0-4D7E-91D8-9EAC24122399}">
      <formula1>0</formula1>
      <formula2>E4/2</formula2>
    </dataValidation>
    <dataValidation type="whole" allowBlank="1" showInputMessage="1" showErrorMessage="1" error="Must be a negative number no less than a 50% of the base hits" sqref="B11" xr:uid="{9D606B47-B815-483F-AA46-0740924FE2A1}">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9C79D05E-BADF-449F-A7FA-ECEF7CA2282D}">
          <x14:formula1>
            <xm:f>Options!$C$9:$C$256</xm:f>
          </x14:formula1>
          <xm:sqref>A36:A56</xm:sqref>
        </x14:dataValidation>
        <x14:dataValidation type="list" allowBlank="1" showInputMessage="1" showErrorMessage="1" xr:uid="{4ED3956D-A7E6-49DF-B117-1483C0FE0413}">
          <x14:formula1>
            <xm:f>Brains!$K$3:$K$16</xm:f>
          </x14:formula1>
          <xm:sqref>B65</xm:sqref>
        </x14:dataValidation>
        <x14:dataValidation type="list" allowBlank="1" showInputMessage="1" showErrorMessage="1" xr:uid="{F3AEB5C3-9A40-4C6F-94F4-3ABD9A1B14DB}">
          <x14:formula1>
            <xm:f>Packages!$B$23:$B$25</xm:f>
          </x14:formula1>
          <xm:sqref>B71</xm:sqref>
        </x14:dataValidation>
        <x14:dataValidation type="list" allowBlank="1" showInputMessage="1" showErrorMessage="1" xr:uid="{B68696C8-644A-42C3-9448-8F1FADF21BEA}">
          <x14:formula1>
            <xm:f>Packages!$B$3:$B$7</xm:f>
          </x14:formula1>
          <xm:sqref>B69</xm:sqref>
        </x14:dataValidation>
        <x14:dataValidation type="list" allowBlank="1" showInputMessage="1" showErrorMessage="1" xr:uid="{45B5945A-130E-4643-BF07-A7199D2BAF05}">
          <x14:formula1>
            <xm:f>Brains!$B$3:$B$19</xm:f>
          </x14:formula1>
          <xm:sqref>B64</xm:sqref>
        </x14:dataValidation>
        <x14:dataValidation type="list" allowBlank="1" showInputMessage="1" showErrorMessage="1" xr:uid="{79782128-C5E2-485A-8E6C-C88F5F9311E8}">
          <x14:formula1>
            <xm:f>Packages!$B$11:$B$19</xm:f>
          </x14:formula1>
          <xm:sqref>B70</xm:sqref>
        </x14:dataValidation>
        <x14:dataValidation type="list" allowBlank="1" showInputMessage="1" showErrorMessage="1" xr:uid="{E25FC80C-2797-428D-9835-79CD6844D978}">
          <x14:formula1>
            <xm:f>Chassis!$H$3:$H$13</xm:f>
          </x14:formula1>
          <xm:sqref>B17 B5</xm:sqref>
        </x14:dataValidation>
        <x14:dataValidation type="list" allowBlank="1" showInputMessage="1" showErrorMessage="1" xr:uid="{7799139A-8D09-4233-B79B-86726FFEE79E}">
          <x14:formula1>
            <xm:f>Packages!$B$29:$B$82</xm:f>
          </x14:formula1>
          <xm:sqref>A73:A90</xm:sqref>
        </x14:dataValidation>
        <x14:dataValidation type="list" allowBlank="1" showInputMessage="1" showErrorMessage="1" xr:uid="{8A57F0FB-0CCD-4DA4-A1BB-2E609371D42D}">
          <x14:formula1>
            <xm:f>Options!$C$9:$C$71</xm:f>
          </x14:formula1>
          <xm:sqref>A30:A34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E853-3C95-4272-99CF-B0182E65802A}">
  <sheetPr>
    <tabColor rgb="FF92D050"/>
  </sheetPr>
  <dimension ref="A1:Z94"/>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836</v>
      </c>
      <c r="C2" s="204"/>
      <c r="D2" s="205"/>
      <c r="E2" s="36">
        <f>SUM(E5:E90)+E4</f>
        <v>0</v>
      </c>
      <c r="F2" s="206" t="s">
        <v>184</v>
      </c>
      <c r="G2" s="207"/>
      <c r="H2" s="208"/>
      <c r="I2" s="203" t="s">
        <v>776</v>
      </c>
      <c r="J2" s="204"/>
      <c r="K2" s="204"/>
      <c r="L2" s="204"/>
      <c r="M2" s="204"/>
      <c r="N2" s="79" t="s">
        <v>315</v>
      </c>
      <c r="O2" s="37">
        <v>15</v>
      </c>
      <c r="P2" s="151">
        <f>Z6</f>
        <v>355500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23</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Advanced AutoBerth Cluster (compact)</v>
      </c>
      <c r="S6" s="144">
        <f>M11</f>
        <v>72</v>
      </c>
      <c r="T6" s="144" t="str">
        <f>B5</f>
        <v>None</v>
      </c>
      <c r="U6" s="144" t="str">
        <f>_xlfn.CONCAT(J14," m")</f>
        <v>0 m</v>
      </c>
      <c r="V6" s="145">
        <f>O2</f>
        <v>15</v>
      </c>
      <c r="W6" s="150">
        <f>P91</f>
        <v>395050</v>
      </c>
      <c r="X6" s="152">
        <f>IF(I2="Standard Design",0.1,0)</f>
        <v>0.1</v>
      </c>
      <c r="Y6" s="153">
        <v>2</v>
      </c>
      <c r="Z6" s="148">
        <f>FLOOR(P91*(1-X6),100)</f>
        <v>355500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4,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864</v>
      </c>
      <c r="K9" s="177" t="s">
        <v>64</v>
      </c>
      <c r="L9" s="178"/>
      <c r="M9" s="179"/>
      <c r="O9" s="5" t="str">
        <f>IF(B9&gt;0,_xlfn.CONCAT("Athletics (endurance) ",B9,", "),"")</f>
        <v/>
      </c>
      <c r="P9" s="137">
        <f>-500*E9</f>
        <v>0</v>
      </c>
      <c r="R9" s="116" t="s">
        <v>49</v>
      </c>
      <c r="S9" s="162" t="str">
        <f>IF(COUNT(B19:B26)=0,"none",_xlfn.CONCAT(COUNT(B19:B26), " X (STR ",H19," DEX ",L19,")"))</f>
        <v>4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864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Medical Chamber, Medical Chamber, Medical Chamber Option: Low berth (improved), Medikit (advanced), Storage Compartment (refrigerated), Storage Compartment (standard),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864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18</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9</v>
      </c>
      <c r="E20" s="101" cm="1">
        <f t="array" ref="E20">ROUNDUP(_xlfn.IFS($B$4-B20=0,0,$B$4-B20=1,$E$4*0.05,$B$4-B20=2,$E$4*0.08,$B$4-B20=3,$E$4*0.09,$B$4-B20&gt;3,$E$4*0.1,$B$4-B20&lt;0,$E$4*0.1*($B$4-B20)),0)</f>
        <v>13</v>
      </c>
      <c r="F20" s="54">
        <f t="shared" si="1"/>
        <v>10</v>
      </c>
      <c r="G20" s="16"/>
      <c r="H20" s="6">
        <f t="shared" si="2"/>
        <v>5</v>
      </c>
      <c r="I20" s="21">
        <f t="shared" si="3"/>
        <v>-1</v>
      </c>
      <c r="J20" s="54">
        <f t="shared" si="4"/>
        <v>18</v>
      </c>
      <c r="K20" s="16"/>
      <c r="L20" s="6">
        <f t="shared" si="5"/>
        <v>9</v>
      </c>
      <c r="M20" s="21">
        <f t="shared" si="6"/>
        <v>1</v>
      </c>
      <c r="O20" s="5" t="str">
        <f t="shared" si="7"/>
        <v/>
      </c>
      <c r="P20" s="137">
        <f>IF((B20-$B$4)*100&gt;-0.2*$P$5,(B20-$B$4)*100,-0.2*$P$5)+B20*100*(G20)^2+B20*200*(K20)^2</f>
        <v>-500</v>
      </c>
      <c r="R20" s="232" t="s">
        <v>849</v>
      </c>
      <c r="S20" s="189"/>
      <c r="T20" s="189"/>
      <c r="U20" s="189"/>
      <c r="V20" s="189"/>
      <c r="W20" s="189"/>
      <c r="X20" s="189"/>
      <c r="Y20" s="189"/>
      <c r="Z20" s="190"/>
    </row>
    <row r="21" spans="1:26" ht="12" customHeight="1" x14ac:dyDescent="0.35">
      <c r="A21" s="93" t="s">
        <v>52</v>
      </c>
      <c r="B21" s="30">
        <v>3</v>
      </c>
      <c r="C21" s="6">
        <f t="shared" si="0"/>
        <v>5</v>
      </c>
      <c r="D21" s="97">
        <f t="shared" si="8"/>
        <v>9</v>
      </c>
      <c r="E21" s="101" cm="1">
        <f t="array" ref="E21">IF(B21=0,0,ROUNDUP(_xlfn.IFS($B$4-B21=0,-$E$4*0.1,$B$4-B21=1,-$E$4*0.05,$B$4-B21=2,-$E$4*0.02,$B$4-B21=3,-$E$4*0.01,$B$4-B21&gt;3,-$E$4*0.01,$B$4-B21&lt;0,$E$4*0.2*($B$4-B21)),0))</f>
        <v>-2</v>
      </c>
      <c r="F21" s="54">
        <f t="shared" si="1"/>
        <v>10</v>
      </c>
      <c r="G21" s="16"/>
      <c r="H21" s="6">
        <f t="shared" si="2"/>
        <v>5</v>
      </c>
      <c r="I21" s="21">
        <f t="shared" si="3"/>
        <v>-1</v>
      </c>
      <c r="J21" s="54">
        <f t="shared" si="4"/>
        <v>18</v>
      </c>
      <c r="K21" s="16"/>
      <c r="L21" s="6">
        <f t="shared" si="5"/>
        <v>9</v>
      </c>
      <c r="M21" s="21">
        <f t="shared" si="6"/>
        <v>1</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9</v>
      </c>
      <c r="E22" s="101" cm="1">
        <f t="array" ref="E22">IF(B22=0,0,ROUNDUP(_xlfn.IFS($B$4-B22=0,-$E$4*0.1,$B$4-B22=1,-$E$4*0.05,$B$4-B22=2,-$E$4*0.02,$B$4-B22=3,-$E$4*0.01,$B$4-B22&gt;3,-$E$4*0.01,$B$4-B22&lt;0,$E$4*0.2*($B$4-B22)),0))</f>
        <v>-2</v>
      </c>
      <c r="F22" s="54">
        <f t="shared" si="1"/>
        <v>10</v>
      </c>
      <c r="G22" s="16"/>
      <c r="H22" s="6">
        <f t="shared" si="2"/>
        <v>5</v>
      </c>
      <c r="I22" s="21">
        <f t="shared" si="3"/>
        <v>-1</v>
      </c>
      <c r="J22" s="54">
        <f t="shared" si="4"/>
        <v>18</v>
      </c>
      <c r="K22" s="16"/>
      <c r="L22" s="6">
        <f t="shared" si="5"/>
        <v>9</v>
      </c>
      <c r="M22" s="21">
        <f t="shared" si="6"/>
        <v>1</v>
      </c>
      <c r="O22" s="5" t="str">
        <f t="shared" si="7"/>
        <v/>
      </c>
      <c r="P22" s="137">
        <f t="shared" si="9"/>
        <v>300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18</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18</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18</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18</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18</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18</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-32</v>
      </c>
      <c r="F37" s="38">
        <f>IF(_xlfn.XLOOKUP(A37,OptionsTable[Name],OptionsTable[xS],,,)=FALSE,1,IF($B$4&gt;0,$E$4,1))</f>
        <v>1</v>
      </c>
      <c r="G37" s="58">
        <v>32</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6400</v>
      </c>
      <c r="R37" s="191"/>
      <c r="S37" s="192"/>
      <c r="T37" s="192"/>
      <c r="U37" s="192"/>
      <c r="V37" s="192"/>
      <c r="W37" s="192"/>
      <c r="X37" s="192"/>
      <c r="Y37" s="192"/>
      <c r="Z37" s="193"/>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-32</v>
      </c>
      <c r="F38" s="38">
        <f>IF(_xlfn.XLOOKUP(A38,OptionsTable[Name],OptionsTable[xS],,,)=FALSE,1,IF($B$4&gt;0,$E$4,1))</f>
        <v>1</v>
      </c>
      <c r="G38" s="58">
        <v>32</v>
      </c>
      <c r="H38" s="199" t="str">
        <f>IF(_xlfn.XLOOKUP(A38,OptionsTable[Name],OptionsTable[Notes],,,)="","",_xlfn.XLOOKUP(A38,OptionsTable[Name],OptionsTable[Notes],,,))</f>
        <v>DM+1 to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6400</v>
      </c>
      <c r="R38" s="191"/>
      <c r="S38" s="192"/>
      <c r="T38" s="192"/>
      <c r="U38" s="192"/>
      <c r="V38" s="192"/>
      <c r="W38" s="192"/>
      <c r="X38" s="192"/>
      <c r="Y38" s="192"/>
      <c r="Z38" s="193"/>
    </row>
    <row r="39" spans="1:26" ht="12" customHeight="1" x14ac:dyDescent="0.35">
      <c r="A39" s="197" t="s">
        <v>240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-32</v>
      </c>
      <c r="F39" s="38">
        <f>IF(_xlfn.XLOOKUP(A39,OptionsTable[Name],OptionsTable[xS],,,)=FALSE,1,IF($B$4&gt;0,$E$4,1))</f>
        <v>1</v>
      </c>
      <c r="G39" s="58">
        <v>32</v>
      </c>
      <c r="H39" s="199" t="str">
        <f>IF(_xlfn.XLOOKUP(A39,OptionsTable[Name],OptionsTable[Notes],,,)="","",_xlfn.XLOOKUP(A39,OptionsTable[Name],OptionsTable[Notes],,,))</f>
        <v>DM+1 to Max skill</v>
      </c>
      <c r="I39" s="200"/>
      <c r="J39" s="200"/>
      <c r="K39" s="44">
        <f>_xlfn.XLOOKUP(A39,OptionsTable[Name],OptionsTable[TL],,,)</f>
        <v>8</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6400</v>
      </c>
      <c r="R39" s="191"/>
      <c r="S39" s="192"/>
      <c r="T39" s="192"/>
      <c r="U39" s="192"/>
      <c r="V39" s="192"/>
      <c r="W39" s="192"/>
      <c r="X39" s="192"/>
      <c r="Y39" s="192"/>
      <c r="Z39" s="193"/>
    </row>
    <row r="40" spans="1:26" ht="12" customHeight="1" x14ac:dyDescent="0.35">
      <c r="A40" s="197" t="s">
        <v>240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-32</v>
      </c>
      <c r="F40" s="38">
        <f>IF(_xlfn.XLOOKUP(A40,OptionsTable[Name],OptionsTable[xS],,,)=FALSE,1,IF($B$4&gt;0,$E$4,1))</f>
        <v>1</v>
      </c>
      <c r="G40" s="58">
        <v>32</v>
      </c>
      <c r="H40" s="199" t="str">
        <f>IF(_xlfn.XLOOKUP(A40,OptionsTable[Name],OptionsTable[Notes],,,)="","",_xlfn.XLOOKUP(A40,OptionsTable[Name],OptionsTable[Notes],,,))</f>
        <v>DM+1 to Max skill</v>
      </c>
      <c r="I40" s="200"/>
      <c r="J40" s="200"/>
      <c r="K40" s="44">
        <f>_xlfn.XLOOKUP(A40,OptionsTable[Name],OptionsTable[TL],,,)</f>
        <v>8</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6400</v>
      </c>
      <c r="R40" s="191"/>
      <c r="S40" s="192"/>
      <c r="T40" s="192"/>
      <c r="U40" s="192"/>
      <c r="V40" s="192"/>
      <c r="W40" s="192"/>
      <c r="X40" s="192"/>
      <c r="Y40" s="192"/>
      <c r="Z40" s="193"/>
    </row>
    <row r="41" spans="1:26" ht="12" customHeight="1" x14ac:dyDescent="0.35">
      <c r="A41" s="197" t="s">
        <v>560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-32</v>
      </c>
      <c r="F41" s="38">
        <f>IF(_xlfn.XLOOKUP(A41,OptionsTable[Name],OptionsTable[xS],,,)=FALSE,1,IF($B$4&gt;0,$E$4,1))</f>
        <v>1</v>
      </c>
      <c r="G41" s="58">
        <v>4</v>
      </c>
      <c r="H41" s="199" t="str">
        <f>IF(_xlfn.XLOOKUP(A41,OptionsTable[Name],OptionsTable[Notes],,,)="","",_xlfn.XLOOKUP(A41,OptionsTable[Name],OptionsTable[Notes],,,))</f>
        <v>DM+1 to revival</v>
      </c>
      <c r="I41" s="200"/>
      <c r="J41" s="200"/>
      <c r="K41" s="44">
        <f>_xlfn.XLOOKUP(A41,OptionsTable[Name],OptionsTable[TL],,,)</f>
        <v>12</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80000</v>
      </c>
      <c r="R41" s="191"/>
      <c r="S41" s="192"/>
      <c r="T41" s="192"/>
      <c r="U41" s="192"/>
      <c r="V41" s="192"/>
      <c r="W41" s="192"/>
      <c r="X41" s="192"/>
      <c r="Y41" s="192"/>
      <c r="Z41" s="193"/>
    </row>
    <row r="42" spans="1:26" ht="12" customHeight="1" x14ac:dyDescent="0.35">
      <c r="A42" s="197" t="s">
        <v>203</v>
      </c>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-1</v>
      </c>
      <c r="F42" s="38">
        <f>IF(_xlfn.XLOOKUP(A42,OptionsTable[Name],OptionsTable[xS],,,)=FALSE,1,IF($B$4&gt;0,$E$4,1))</f>
        <v>1</v>
      </c>
      <c r="G42" s="58"/>
      <c r="H42" s="199" t="str">
        <f>IF(_xlfn.XLOOKUP(A42,OptionsTable[Name],OptionsTable[Notes],,,)="","",_xlfn.XLOOKUP(A42,OptionsTable[Name],OptionsTable[Notes],,,))</f>
        <v>3 max skill</v>
      </c>
      <c r="I42" s="200"/>
      <c r="J42" s="200"/>
      <c r="K42" s="44">
        <f>_xlfn.XLOOKUP(A42,OptionsTable[Name],OptionsTable[TL],,,)</f>
        <v>14</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10000</v>
      </c>
      <c r="R42" s="191"/>
      <c r="S42" s="192"/>
      <c r="T42" s="192"/>
      <c r="U42" s="192"/>
      <c r="V42" s="192"/>
      <c r="W42" s="192"/>
      <c r="X42" s="192"/>
      <c r="Y42" s="192"/>
      <c r="Z42" s="193"/>
    </row>
    <row r="43" spans="1:26" ht="12" customHeight="1" x14ac:dyDescent="0.35">
      <c r="A43" s="197" t="s">
        <v>190</v>
      </c>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-8</v>
      </c>
      <c r="F43" s="38">
        <f>IF(_xlfn.XLOOKUP(A43,OptionsTable[Name],OptionsTable[xS],,,)=FALSE,1,IF($B$4&gt;0,$E$4,1))</f>
        <v>1</v>
      </c>
      <c r="G43" s="58">
        <v>8</v>
      </c>
      <c r="H43" s="199" t="str">
        <f>IF(_xlfn.XLOOKUP(A43,OptionsTable[Name],OptionsTable[Notes],,,)="","",_xlfn.XLOOKUP(A43,OptionsTable[Name],OptionsTable[Notes],,,))</f>
        <v>2 kg or litres / slot</v>
      </c>
      <c r="I43" s="200"/>
      <c r="J43" s="200"/>
      <c r="K43" s="44">
        <f>_xlfn.XLOOKUP(A43,OptionsTable[Name],OptionsTable[TL],,,)</f>
        <v>6</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800</v>
      </c>
      <c r="R43" s="191"/>
      <c r="S43" s="192"/>
      <c r="T43" s="192"/>
      <c r="U43" s="192"/>
      <c r="V43" s="192"/>
      <c r="W43" s="192"/>
      <c r="X43" s="192"/>
      <c r="Y43" s="192"/>
      <c r="Z43" s="193"/>
    </row>
    <row r="44" spans="1:26" ht="12" customHeight="1" x14ac:dyDescent="0.35">
      <c r="A44" s="30" t="s">
        <v>471</v>
      </c>
      <c r="B44" s="157"/>
      <c r="C44" s="157"/>
      <c r="D44" s="15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-11</v>
      </c>
      <c r="F44" s="38">
        <f>IF(_xlfn.XLOOKUP(A44,OptionsTable[Name],OptionsTable[xS],,,)=FALSE,1,IF($B$4&gt;0,$E$4,1))</f>
        <v>1</v>
      </c>
      <c r="G44" s="58">
        <v>11</v>
      </c>
      <c r="H44" s="199" t="str">
        <f>IF(_xlfn.XLOOKUP(A44,OptionsTable[Name],OptionsTable[Notes],,,)="","",_xlfn.XLOOKUP(A44,OptionsTable[Name],OptionsTable[Notes],,,))</f>
        <v>2 kg or litres / slot</v>
      </c>
      <c r="I44" s="200"/>
      <c r="J44" s="200"/>
      <c r="K44" s="44">
        <f>_xlfn.XLOOKUP(A44,OptionsTable[Name],OptionsTable[TL],,,)</f>
        <v>6</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550</v>
      </c>
      <c r="R44" s="191"/>
      <c r="S44" s="192"/>
      <c r="T44" s="192"/>
      <c r="U44" s="192"/>
      <c r="V44" s="192"/>
      <c r="W44" s="192"/>
      <c r="X44" s="192"/>
      <c r="Y44" s="192"/>
      <c r="Z44" s="193"/>
    </row>
    <row r="45" spans="1:26" ht="12" customHeight="1" x14ac:dyDescent="0.35">
      <c r="A45" s="197"/>
      <c r="B45" s="198"/>
      <c r="C45" s="198"/>
      <c r="D45" s="241"/>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241"/>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241"/>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241"/>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241"/>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241"/>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241"/>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241"/>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241"/>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241"/>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241"/>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24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81</v>
      </c>
      <c r="C64" s="227"/>
      <c r="D64" s="227"/>
      <c r="E64" s="40">
        <f>IF(L64+K64-O2&gt;B4,-1,0)</f>
        <v>0</v>
      </c>
      <c r="F64" s="38"/>
      <c r="H64" s="1">
        <f>_xlfn.XLOOKUP(B64,Brains[Programming/Control],Brains[Base INT],,,)</f>
        <v>9</v>
      </c>
      <c r="I64" s="31">
        <f>IF(H64&gt;17,4,IF(H64&gt;14,3,IF(H64&gt;11,2,IF(H64&gt;8,1,IF(H64&gt;5,0,IF(H64&gt;2,-1,-2))))))</f>
        <v>1</v>
      </c>
      <c r="J64" s="1">
        <f>_xlfn.XLOOKUP(B64,Brains[Programming/Control],Brains[Computer/X],,,)</f>
        <v>3</v>
      </c>
      <c r="K64" s="44">
        <f>_xlfn.XLOOKUP(B64,Brains[Programming/Control],Brains[TL],,,)</f>
        <v>12</v>
      </c>
      <c r="L64">
        <f>_xlfn.XLOOKUP(B64,Brains[Programming/Control],Brains[Computer/X],,,)</f>
        <v>3</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62500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3</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9</v>
      </c>
      <c r="I66" s="15">
        <f>IF(H66&gt;17,4,IF(H66&gt;14,3,IF(H66&gt;11,2,IF(H66&gt;8,1,IF(H66&gt;5,0,IF(H66&gt;2,-1,-2))))))</f>
        <v>1</v>
      </c>
      <c r="K66" s="44"/>
      <c r="L66" s="56">
        <f>L65+F66</f>
        <v>3</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3</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4,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395050</v>
      </c>
    </row>
    <row r="92" spans="1:16" ht="12" customHeight="1" thickBot="1" x14ac:dyDescent="0.45">
      <c r="B92" s="110"/>
      <c r="O92" s="149" t="str">
        <f>CONCATENATE("Cost With "&amp;X6*100 &amp; "% Discount")</f>
        <v>Cost With 10% Discount</v>
      </c>
      <c r="P92" s="147">
        <f>P2</f>
        <v>355500</v>
      </c>
    </row>
    <row r="93" spans="1:16" ht="12" customHeight="1" x14ac:dyDescent="0.4">
      <c r="B93" s="111"/>
    </row>
    <row r="94" spans="1:16" ht="12" customHeight="1" x14ac:dyDescent="0.35">
      <c r="A94" s="110"/>
      <c r="B94" s="112"/>
    </row>
  </sheetData>
  <dataConsolidate/>
  <mergeCells count="112">
    <mergeCell ref="B74:C74"/>
    <mergeCell ref="B75:C75"/>
    <mergeCell ref="B76:C76"/>
    <mergeCell ref="B77:C77"/>
    <mergeCell ref="B78:C78"/>
    <mergeCell ref="B79:C79"/>
    <mergeCell ref="B64:D64"/>
    <mergeCell ref="B65:D65"/>
    <mergeCell ref="B69:D69"/>
    <mergeCell ref="B70:D70"/>
    <mergeCell ref="B71:D71"/>
    <mergeCell ref="B73:C73"/>
    <mergeCell ref="B86:C86"/>
    <mergeCell ref="B87:C87"/>
    <mergeCell ref="B88:C88"/>
    <mergeCell ref="B89:C89"/>
    <mergeCell ref="B90:C90"/>
    <mergeCell ref="B80:C80"/>
    <mergeCell ref="B81:C81"/>
    <mergeCell ref="B82:C82"/>
    <mergeCell ref="B83:C83"/>
    <mergeCell ref="B84:C84"/>
    <mergeCell ref="B85:C85"/>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H46:J46"/>
    <mergeCell ref="A47:D47"/>
    <mergeCell ref="H47:J47"/>
    <mergeCell ref="A48:D48"/>
    <mergeCell ref="H48:J48"/>
    <mergeCell ref="A43:D43"/>
    <mergeCell ref="H43:J43"/>
    <mergeCell ref="H44:J44"/>
    <mergeCell ref="A45:D45"/>
    <mergeCell ref="H45:J45"/>
    <mergeCell ref="R20:Z75"/>
    <mergeCell ref="G11:H11"/>
    <mergeCell ref="K11:L11"/>
    <mergeCell ref="S11:Z11"/>
    <mergeCell ref="G12:O12"/>
    <mergeCell ref="S12:Z12"/>
    <mergeCell ref="R13:R17"/>
    <mergeCell ref="S13:Z17"/>
    <mergeCell ref="A39:D39"/>
    <mergeCell ref="H39:J39"/>
    <mergeCell ref="A40:D40"/>
    <mergeCell ref="H40:J40"/>
    <mergeCell ref="H41:J41"/>
    <mergeCell ref="H42:J42"/>
    <mergeCell ref="H35:J35"/>
    <mergeCell ref="A36:D36"/>
    <mergeCell ref="H36:J36"/>
    <mergeCell ref="A37:D37"/>
    <mergeCell ref="H37:J37"/>
    <mergeCell ref="A38:D38"/>
    <mergeCell ref="H38:J38"/>
    <mergeCell ref="A41:D41"/>
    <mergeCell ref="A42:D42"/>
    <mergeCell ref="A46:D46"/>
    <mergeCell ref="A32:D32"/>
    <mergeCell ref="H32:J32"/>
    <mergeCell ref="A33:D33"/>
    <mergeCell ref="H33:J33"/>
    <mergeCell ref="A34:D34"/>
    <mergeCell ref="H34:J34"/>
    <mergeCell ref="B29:D29"/>
    <mergeCell ref="H29:J29"/>
    <mergeCell ref="A30:D30"/>
    <mergeCell ref="H30:J30"/>
    <mergeCell ref="A31:D31"/>
    <mergeCell ref="H31:J31"/>
    <mergeCell ref="B2:D2"/>
    <mergeCell ref="F2:H2"/>
    <mergeCell ref="I2:M2"/>
    <mergeCell ref="G3:J3"/>
    <mergeCell ref="G4:I4"/>
    <mergeCell ref="K4:L4"/>
    <mergeCell ref="G10:H10"/>
    <mergeCell ref="K10:M10"/>
    <mergeCell ref="S10:Z10"/>
    <mergeCell ref="G9:I9"/>
    <mergeCell ref="K9:M9"/>
    <mergeCell ref="S9:Z9"/>
    <mergeCell ref="G5:I5"/>
    <mergeCell ref="H6:N6"/>
    <mergeCell ref="G7:I7"/>
    <mergeCell ref="S7:Z7"/>
    <mergeCell ref="G8:I8"/>
    <mergeCell ref="K8:M8"/>
    <mergeCell ref="S8:Z8"/>
  </mergeCells>
  <conditionalFormatting sqref="B14">
    <cfRule type="expression" dxfId="72" priority="6">
      <formula>ABS($J$14-6) &gt; 6</formula>
    </cfRule>
  </conditionalFormatting>
  <conditionalFormatting sqref="E2">
    <cfRule type="expression" dxfId="71" priority="4">
      <formula>$E$2&lt;0</formula>
    </cfRule>
  </conditionalFormatting>
  <conditionalFormatting sqref="E15:E17">
    <cfRule type="expression" dxfId="70" priority="1">
      <formula>AND($B$4=0,E15&lt;0)</formula>
    </cfRule>
  </conditionalFormatting>
  <conditionalFormatting sqref="K5 K30:K34 K36:K57 K59:K61 K64:K67 K73:K90">
    <cfRule type="expression" dxfId="69" priority="5">
      <formula>K5&gt;$O$2</formula>
    </cfRule>
  </conditionalFormatting>
  <conditionalFormatting sqref="L57">
    <cfRule type="expression" dxfId="68" priority="2">
      <formula>L57&gt;$O$2</formula>
    </cfRule>
  </conditionalFormatting>
  <conditionalFormatting sqref="L67">
    <cfRule type="expression" dxfId="67" priority="3">
      <formula>L67&lt;0</formula>
    </cfRule>
  </conditionalFormatting>
  <dataValidations count="20">
    <dataValidation type="whole" allowBlank="1" showInputMessage="1" showErrorMessage="1" error="Must be a negative number no less than a 50% of the base hits" sqref="B11" xr:uid="{8F8A83C5-D778-4A67-8210-253A438A692A}">
      <formula1>-J4/2</formula1>
      <formula2>0</formula2>
    </dataValidation>
    <dataValidation type="whole" allowBlank="1" showInputMessage="1" showErrorMessage="1" error="Must be whole number. No more than 50% of slots may be used for Resiliency" sqref="B10" xr:uid="{062639B0-E4FE-47BA-9EBC-81FD8F1B3B46}">
      <formula1>0</formula1>
      <formula2>E4/2</formula2>
    </dataValidation>
    <dataValidation type="whole" allowBlank="1" showInputMessage="1" showErrorMessage="1" sqref="E11" xr:uid="{67165905-5625-4353-A53B-2AE6E000B478}">
      <formula1>0</formula1>
      <formula2>J4/2</formula2>
    </dataValidation>
    <dataValidation type="list" allowBlank="1" showInputMessage="1" showErrorMessage="1" error="Maximum = 3" sqref="B9" xr:uid="{0F8AFA40-EF62-4C63-8A50-9C8710A74758}">
      <formula1>"0,1,2,3"</formula1>
    </dataValidation>
    <dataValidation type="list" allowBlank="1" showInputMessage="1" showErrorMessage="1" sqref="B4" xr:uid="{1B7060C6-9440-47D1-9FA4-6D58D053F690}">
      <formula1>"0,1,2,3,4,5,6,7,8"</formula1>
    </dataValidation>
    <dataValidation type="list" allowBlank="1" showInputMessage="1" showErrorMessage="1" sqref="O2" xr:uid="{240E801E-BA7D-410B-A03D-8FEE1BED5E70}">
      <formula1>"7,8,9,10,11,12,13,14,15,16,17,18"</formula1>
    </dataValidation>
    <dataValidation type="whole" allowBlank="1" showInputMessage="1" showErrorMessage="1" error="Max Manipulator Size = Chassis Size +2_x000a_Min Manipulator Size = 0_x000a_Whole Numbers Only" sqref="B19:B26" xr:uid="{186552D4-B1A2-4166-81EE-E3E6BB75DD38}">
      <formula1>0</formula1>
      <formula2>$B$4+2</formula2>
    </dataValidation>
    <dataValidation type="list" allowBlank="1" showInputMessage="1" showErrorMessage="1" sqref="B27:B28 B67 B8" xr:uid="{9F0C03D5-8330-4780-97E9-453FA8CBB764}">
      <formula1>"TRUE,FALSE"</formula1>
    </dataValidation>
    <dataValidation type="list" allowBlank="1" showInputMessage="1" showErrorMessage="1" sqref="B13" xr:uid="{6C1629D7-DF07-499C-BC01-48092596A575}">
      <formula1>"0,1,2,3,4"</formula1>
    </dataValidation>
    <dataValidation type="list" allowBlank="1" showInputMessage="1" showErrorMessage="1" sqref="D73:D90 B66" xr:uid="{DBCF508F-075A-4D8E-B5F9-2FC690F479F1}">
      <formula1>"0,1,2,3"</formula1>
    </dataValidation>
    <dataValidation type="list" allowBlank="1" showInputMessage="1" showErrorMessage="1" sqref="B15" xr:uid="{3F8C1558-C3AE-48BA-8E12-16EAD3345A52}">
      <formula1>"FALSE,TRUE"</formula1>
    </dataValidation>
    <dataValidation type="list" allowBlank="1" showInputMessage="1" showErrorMessage="1" sqref="B16" xr:uid="{5B5CE11C-4B6E-46DB-B502-C36D8EFB7920}">
      <formula1>"No,1X,2X,3X"</formula1>
    </dataValidation>
    <dataValidation type="whole" allowBlank="1" showInputMessage="1" showErrorMessage="1" error="Must be whole number between -6 and +12" sqref="B14" xr:uid="{306A654A-D361-4F96-B9FB-00739F990C08}">
      <formula1>-6</formula1>
      <formula2>12</formula2>
    </dataValidation>
    <dataValidation type="whole" allowBlank="1" showInputMessage="1" showErrorMessage="1" sqref="C11:D11" xr:uid="{4683D32E-B808-4B3B-B976-0F20696E517F}">
      <formula1>0</formula1>
      <formula2>D4/2</formula2>
    </dataValidation>
    <dataValidation type="whole" allowBlank="1" showInputMessage="1" showErrorMessage="1" sqref="C13:D13" xr:uid="{D332D58D-AB48-4C6A-A92A-1430F575716B}">
      <formula1>0</formula1>
      <formula2>D5/2</formula2>
    </dataValidation>
    <dataValidation type="whole" allowBlank="1" showInputMessage="1" showErrorMessage="1" sqref="C14:D14" xr:uid="{8743C6D2-2818-41E1-BCD3-DCCC0388CC47}">
      <formula1>0</formula1>
      <formula2>D15/2</formula2>
    </dataValidation>
    <dataValidation type="whole" allowBlank="1" showInputMessage="1" showErrorMessage="1" sqref="E13:E14" xr:uid="{DD84738E-471E-4260-9C8A-51639292F90D}">
      <formula1>0</formula1>
      <formula2>#REF!/2</formula2>
    </dataValidation>
    <dataValidation type="whole" allowBlank="1" showInputMessage="1" showErrorMessage="1" error="Max STR = Lesser of Size + TL or SIZE X 4" sqref="G19:G28" xr:uid="{EA8601C9-2A9A-43E5-B05A-B7FF86A29BCC}">
      <formula1>0</formula1>
      <formula2>F19-C19</formula2>
    </dataValidation>
    <dataValidation type="whole" allowBlank="1" showInputMessage="1" showErrorMessage="1" error="Max DEX = TL+3" sqref="K19:K28" xr:uid="{5AB00792-65DB-4063-9865-D3D8BBD0A0C3}">
      <formula1>0</formula1>
      <formula2>J19-D19</formula2>
    </dataValidation>
    <dataValidation type="whole" allowBlank="1" showInputMessage="1" showErrorMessage="1" error="Total Armour cannot exceed Maximum" sqref="B7" xr:uid="{E15D3565-D81C-48A0-B750-EB5571004155}">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F349ECEF-E420-4428-8B6C-22415BBADC68}">
          <x14:formula1>
            <xm:f>Options!$C$9:$C$256</xm:f>
          </x14:formula1>
          <xm:sqref>A36:A56</xm:sqref>
        </x14:dataValidation>
        <x14:dataValidation type="list" allowBlank="1" showInputMessage="1" showErrorMessage="1" xr:uid="{C682745F-A353-4C63-8351-54AEDE82A350}">
          <x14:formula1>
            <xm:f>Options!$C$9:$C$71</xm:f>
          </x14:formula1>
          <xm:sqref>A30:A34</xm:sqref>
        </x14:dataValidation>
        <x14:dataValidation type="list" allowBlank="1" showInputMessage="1" showErrorMessage="1" xr:uid="{9C3475BE-A8D6-4B5E-A006-3431B6C0CABF}">
          <x14:formula1>
            <xm:f>Packages!$B$29:$B$82</xm:f>
          </x14:formula1>
          <xm:sqref>A73:A90</xm:sqref>
        </x14:dataValidation>
        <x14:dataValidation type="list" allowBlank="1" showInputMessage="1" showErrorMessage="1" xr:uid="{2047078D-428A-4E7C-8977-F8AE2A083481}">
          <x14:formula1>
            <xm:f>Chassis!$H$3:$H$13</xm:f>
          </x14:formula1>
          <xm:sqref>B17 B5</xm:sqref>
        </x14:dataValidation>
        <x14:dataValidation type="list" allowBlank="1" showInputMessage="1" showErrorMessage="1" xr:uid="{6650A433-549F-4388-BE1A-EA40A28BD444}">
          <x14:formula1>
            <xm:f>Packages!$B$11:$B$19</xm:f>
          </x14:formula1>
          <xm:sqref>B70</xm:sqref>
        </x14:dataValidation>
        <x14:dataValidation type="list" allowBlank="1" showInputMessage="1" showErrorMessage="1" xr:uid="{21CA61B4-D3F8-4B42-9ACD-8FDA1CD59587}">
          <x14:formula1>
            <xm:f>Brains!$B$3:$B$19</xm:f>
          </x14:formula1>
          <xm:sqref>B64</xm:sqref>
        </x14:dataValidation>
        <x14:dataValidation type="list" allowBlank="1" showInputMessage="1" showErrorMessage="1" xr:uid="{7A0B3DDE-7214-4312-A045-1569810AB3D0}">
          <x14:formula1>
            <xm:f>Packages!$B$3:$B$7</xm:f>
          </x14:formula1>
          <xm:sqref>B69</xm:sqref>
        </x14:dataValidation>
        <x14:dataValidation type="list" allowBlank="1" showInputMessage="1" showErrorMessage="1" xr:uid="{DFD80B89-8ED4-4E33-A3CB-9BEEA4DC9675}">
          <x14:formula1>
            <xm:f>Packages!$B$23:$B$25</xm:f>
          </x14:formula1>
          <xm:sqref>B71</xm:sqref>
        </x14:dataValidation>
        <x14:dataValidation type="list" allowBlank="1" showInputMessage="1" showErrorMessage="1" xr:uid="{73DF4FB5-1EC9-4841-A121-E9E5582E471E}">
          <x14:formula1>
            <xm:f>Brains!$K$3:$K$16</xm:f>
          </x14:formula1>
          <xm:sqref>B65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0DC4-3C78-4446-B587-25AEE912A5DC}">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bestFit="1"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835</v>
      </c>
      <c r="C2" s="204"/>
      <c r="D2" s="205"/>
      <c r="E2" s="36">
        <f>SUM(E5:E90)+E4</f>
        <v>0</v>
      </c>
      <c r="F2" s="206" t="s">
        <v>184</v>
      </c>
      <c r="G2" s="207"/>
      <c r="H2" s="208"/>
      <c r="I2" s="203" t="s">
        <v>776</v>
      </c>
      <c r="J2" s="204"/>
      <c r="K2" s="204"/>
      <c r="L2" s="204"/>
      <c r="M2" s="204"/>
      <c r="N2" s="79" t="s">
        <v>315</v>
      </c>
      <c r="O2" s="37">
        <v>16</v>
      </c>
      <c r="P2" s="151">
        <f>Z6</f>
        <v>433300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24</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Superior AutoBerth Cluster (compact)</v>
      </c>
      <c r="S6" s="144">
        <f>M11</f>
        <v>72</v>
      </c>
      <c r="T6" s="144" t="str">
        <f>B5</f>
        <v>None</v>
      </c>
      <c r="U6" s="144" t="str">
        <f>_xlfn.CONCAT(J14," m")</f>
        <v>0 m</v>
      </c>
      <c r="V6" s="145">
        <f>O2</f>
        <v>16</v>
      </c>
      <c r="W6" s="150">
        <f>P91</f>
        <v>481550</v>
      </c>
      <c r="X6" s="152">
        <f>IF(I2="Standard Design",0.1,0)</f>
        <v>0.1</v>
      </c>
      <c r="Y6" s="153">
        <v>2</v>
      </c>
      <c r="Z6" s="148">
        <f>FLOOR(P91*(1-X6),100)</f>
        <v>433300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5,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864</v>
      </c>
      <c r="K9" s="177" t="s">
        <v>64</v>
      </c>
      <c r="L9" s="178"/>
      <c r="M9" s="179"/>
      <c r="O9" s="5" t="str">
        <f>IF(B9&gt;0,_xlfn.CONCAT("Athletics (endurance) ",B9,", "),"")</f>
        <v/>
      </c>
      <c r="P9" s="137">
        <f>-500*E9</f>
        <v>0</v>
      </c>
      <c r="R9" s="116" t="s">
        <v>49</v>
      </c>
      <c r="S9" s="162" t="str">
        <f>IF(COUNT(B19:B26)=0,"none",_xlfn.CONCAT(COUNT(B19:B26), " X (STR ",H19," DEX ",L19,")"))</f>
        <v>4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864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12)</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243"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Medical Chamber, Medical Chamber, Medical Chamber Option: Low berth (improved), Medikit (advanced), Storage Compartment (refrigerated), Storage Compartment (standard), , , , , , , , , , , , </v>
      </c>
      <c r="T13" s="244"/>
      <c r="U13" s="244"/>
      <c r="V13" s="244"/>
      <c r="W13" s="244"/>
      <c r="X13" s="244"/>
      <c r="Y13" s="244"/>
      <c r="Z13" s="245"/>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864 hours</v>
      </c>
      <c r="L14" s="5"/>
      <c r="M14" s="5"/>
      <c r="N14" s="5"/>
      <c r="P14" s="137">
        <f>B14*0.1*P5</f>
        <v>0</v>
      </c>
      <c r="R14" s="160"/>
      <c r="S14" s="246"/>
      <c r="T14" s="247"/>
      <c r="U14" s="247"/>
      <c r="V14" s="247"/>
      <c r="W14" s="247"/>
      <c r="X14" s="247"/>
      <c r="Y14" s="247"/>
      <c r="Z14" s="248"/>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246"/>
      <c r="T15" s="247"/>
      <c r="U15" s="247"/>
      <c r="V15" s="247"/>
      <c r="W15" s="247"/>
      <c r="X15" s="247"/>
      <c r="Y15" s="247"/>
      <c r="Z15" s="248"/>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246"/>
      <c r="T16" s="247"/>
      <c r="U16" s="247"/>
      <c r="V16" s="247"/>
      <c r="W16" s="247"/>
      <c r="X16" s="247"/>
      <c r="Y16" s="247"/>
      <c r="Z16" s="248"/>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249"/>
      <c r="T17" s="250"/>
      <c r="U17" s="250"/>
      <c r="V17" s="250"/>
      <c r="W17" s="250"/>
      <c r="X17" s="250"/>
      <c r="Y17" s="250"/>
      <c r="Z17" s="251"/>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19</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9</v>
      </c>
      <c r="E20" s="101" cm="1">
        <f t="array" ref="E20">ROUNDUP(_xlfn.IFS($B$4-B20=0,0,$B$4-B20=1,$E$4*0.05,$B$4-B20=2,$E$4*0.08,$B$4-B20=3,$E$4*0.09,$B$4-B20&gt;3,$E$4*0.1,$B$4-B20&lt;0,$E$4*0.1*($B$4-B20)),0)</f>
        <v>13</v>
      </c>
      <c r="F20" s="54">
        <f t="shared" si="1"/>
        <v>10</v>
      </c>
      <c r="G20" s="16"/>
      <c r="H20" s="6">
        <f t="shared" si="2"/>
        <v>5</v>
      </c>
      <c r="I20" s="21">
        <f t="shared" si="3"/>
        <v>-1</v>
      </c>
      <c r="J20" s="54">
        <f t="shared" si="4"/>
        <v>19</v>
      </c>
      <c r="K20" s="16"/>
      <c r="L20" s="6">
        <f t="shared" si="5"/>
        <v>9</v>
      </c>
      <c r="M20" s="21">
        <f t="shared" si="6"/>
        <v>1</v>
      </c>
      <c r="O20" s="5" t="str">
        <f t="shared" si="7"/>
        <v/>
      </c>
      <c r="P20" s="137">
        <f>IF((B20-$B$4)*100&gt;-0.2*$P$5,(B20-$B$4)*100,-0.2*$P$5)+B20*100*(G20)^2+B20*200*(K20)^2</f>
        <v>-500</v>
      </c>
      <c r="R20" s="232" t="s">
        <v>852</v>
      </c>
      <c r="S20" s="189"/>
      <c r="T20" s="189"/>
      <c r="U20" s="189"/>
      <c r="V20" s="189"/>
      <c r="W20" s="189"/>
      <c r="X20" s="189"/>
      <c r="Y20" s="189"/>
      <c r="Z20" s="190"/>
    </row>
    <row r="21" spans="1:26" ht="12" customHeight="1" x14ac:dyDescent="0.35">
      <c r="A21" s="93" t="s">
        <v>52</v>
      </c>
      <c r="B21" s="30">
        <v>3</v>
      </c>
      <c r="C21" s="6">
        <f t="shared" si="0"/>
        <v>5</v>
      </c>
      <c r="D21" s="97">
        <f t="shared" si="8"/>
        <v>9</v>
      </c>
      <c r="E21" s="101" cm="1">
        <f t="array" ref="E21">IF(B21=0,0,ROUNDUP(_xlfn.IFS($B$4-B21=0,-$E$4*0.1,$B$4-B21=1,-$E$4*0.05,$B$4-B21=2,-$E$4*0.02,$B$4-B21=3,-$E$4*0.01,$B$4-B21&gt;3,-$E$4*0.01,$B$4-B21&lt;0,$E$4*0.2*($B$4-B21)),0))</f>
        <v>-2</v>
      </c>
      <c r="F21" s="54">
        <f t="shared" si="1"/>
        <v>10</v>
      </c>
      <c r="G21" s="16"/>
      <c r="H21" s="6">
        <f t="shared" si="2"/>
        <v>5</v>
      </c>
      <c r="I21" s="21">
        <f t="shared" si="3"/>
        <v>-1</v>
      </c>
      <c r="J21" s="54">
        <f t="shared" si="4"/>
        <v>19</v>
      </c>
      <c r="K21" s="16"/>
      <c r="L21" s="6">
        <f t="shared" si="5"/>
        <v>9</v>
      </c>
      <c r="M21" s="21">
        <f t="shared" si="6"/>
        <v>1</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9</v>
      </c>
      <c r="E22" s="101" cm="1">
        <f t="array" ref="E22">IF(B22=0,0,ROUNDUP(_xlfn.IFS($B$4-B22=0,-$E$4*0.1,$B$4-B22=1,-$E$4*0.05,$B$4-B22=2,-$E$4*0.02,$B$4-B22=3,-$E$4*0.01,$B$4-B22&gt;3,-$E$4*0.01,$B$4-B22&lt;0,$E$4*0.2*($B$4-B22)),0))</f>
        <v>-2</v>
      </c>
      <c r="F22" s="54">
        <f t="shared" si="1"/>
        <v>10</v>
      </c>
      <c r="G22" s="16"/>
      <c r="H22" s="6">
        <f t="shared" si="2"/>
        <v>5</v>
      </c>
      <c r="I22" s="21">
        <f t="shared" si="3"/>
        <v>-1</v>
      </c>
      <c r="J22" s="54">
        <f t="shared" si="4"/>
        <v>19</v>
      </c>
      <c r="K22" s="16"/>
      <c r="L22" s="6">
        <f t="shared" si="5"/>
        <v>9</v>
      </c>
      <c r="M22" s="21">
        <f t="shared" si="6"/>
        <v>1</v>
      </c>
      <c r="O22" s="5" t="str">
        <f t="shared" si="7"/>
        <v/>
      </c>
      <c r="P22" s="137">
        <f t="shared" si="9"/>
        <v>300</v>
      </c>
      <c r="R22" s="191"/>
      <c r="S22" s="192"/>
      <c r="T22" s="192"/>
      <c r="U22" s="192"/>
      <c r="V22" s="192"/>
      <c r="W22" s="192"/>
      <c r="X22" s="192"/>
      <c r="Y22" s="192"/>
      <c r="Z22" s="193"/>
    </row>
    <row r="23" spans="1:26" ht="12" customHeight="1" x14ac:dyDescent="0.35">
      <c r="A23" s="93" t="s">
        <v>54</v>
      </c>
      <c r="B23" s="30"/>
      <c r="C23" s="6">
        <f t="shared" si="0"/>
        <v>0</v>
      </c>
      <c r="D23" s="97">
        <f t="shared" si="8"/>
        <v>0</v>
      </c>
      <c r="E23" s="101" cm="1">
        <f t="array" ref="E23">IF(B23=0,0,ROUNDUP(_xlfn.IFS($B$4-B23=0,-$E$4*0.1,$B$4-B23=1,-$E$4*0.05,$B$4-B23=2,-$E$4*0.02,$B$4-B23=3,-$E$4*0.01,$B$4-B23&gt;3,-$E$4*0.01,$B$4-B23&lt;0,$E$4*0.2*($B$4-B23)),0))</f>
        <v>0</v>
      </c>
      <c r="F23" s="54">
        <f t="shared" si="1"/>
        <v>0</v>
      </c>
      <c r="G23" s="16"/>
      <c r="H23" s="6">
        <f t="shared" si="2"/>
        <v>0</v>
      </c>
      <c r="I23" s="21">
        <f t="shared" si="3"/>
        <v>-2</v>
      </c>
      <c r="J23" s="54">
        <f t="shared" si="4"/>
        <v>19</v>
      </c>
      <c r="K23" s="16"/>
      <c r="L23" s="6">
        <f t="shared" si="5"/>
        <v>0</v>
      </c>
      <c r="M23" s="21">
        <f t="shared" si="6"/>
        <v>-2</v>
      </c>
      <c r="O23" s="5" t="str">
        <f t="shared" si="7"/>
        <v/>
      </c>
      <c r="P23" s="137">
        <f t="shared" si="9"/>
        <v>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19</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19</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19</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19</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19</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-32</v>
      </c>
      <c r="F37" s="38">
        <f>IF(_xlfn.XLOOKUP(A37,OptionsTable[Name],OptionsTable[xS],,,)=FALSE,1,IF($B$4&gt;0,$E$4,1))</f>
        <v>1</v>
      </c>
      <c r="G37" s="58">
        <v>32</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6400</v>
      </c>
      <c r="R37" s="191"/>
      <c r="S37" s="192"/>
      <c r="T37" s="192"/>
      <c r="U37" s="192"/>
      <c r="V37" s="192"/>
      <c r="W37" s="192"/>
      <c r="X37" s="192"/>
      <c r="Y37" s="192"/>
      <c r="Z37" s="193"/>
    </row>
    <row r="38" spans="1:26" ht="12" customHeight="1" x14ac:dyDescent="0.35">
      <c r="A38" s="197" t="s">
        <v>240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-32</v>
      </c>
      <c r="F38" s="38">
        <f>IF(_xlfn.XLOOKUP(A38,OptionsTable[Name],OptionsTable[xS],,,)=FALSE,1,IF($B$4&gt;0,$E$4,1))</f>
        <v>1</v>
      </c>
      <c r="G38" s="58">
        <v>32</v>
      </c>
      <c r="H38" s="199" t="str">
        <f>IF(_xlfn.XLOOKUP(A38,OptionsTable[Name],OptionsTable[Notes],,,)="","",_xlfn.XLOOKUP(A38,OptionsTable[Name],OptionsTable[Notes],,,))</f>
        <v>DM+1 to Max skill</v>
      </c>
      <c r="I38" s="200"/>
      <c r="J38" s="242"/>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6400</v>
      </c>
      <c r="R38" s="191"/>
      <c r="S38" s="192"/>
      <c r="T38" s="192"/>
      <c r="U38" s="192"/>
      <c r="V38" s="192"/>
      <c r="W38" s="192"/>
      <c r="X38" s="192"/>
      <c r="Y38" s="192"/>
      <c r="Z38" s="193"/>
    </row>
    <row r="39" spans="1:26" ht="12" customHeight="1" x14ac:dyDescent="0.35">
      <c r="A39" s="197" t="s">
        <v>240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-32</v>
      </c>
      <c r="F39" s="38">
        <f>IF(_xlfn.XLOOKUP(A39,OptionsTable[Name],OptionsTable[xS],,,)=FALSE,1,IF($B$4&gt;0,$E$4,1))</f>
        <v>1</v>
      </c>
      <c r="G39" s="58">
        <v>32</v>
      </c>
      <c r="H39" s="199" t="str">
        <f>IF(_xlfn.XLOOKUP(A39,OptionsTable[Name],OptionsTable[Notes],,,)="","",_xlfn.XLOOKUP(A39,OptionsTable[Name],OptionsTable[Notes],,,))</f>
        <v>DM+1 to Max skill</v>
      </c>
      <c r="I39" s="200"/>
      <c r="J39" s="200"/>
      <c r="K39" s="44">
        <f>_xlfn.XLOOKUP(A39,OptionsTable[Name],OptionsTable[TL],,,)</f>
        <v>8</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6400</v>
      </c>
      <c r="R39" s="191"/>
      <c r="S39" s="192"/>
      <c r="T39" s="192"/>
      <c r="U39" s="192"/>
      <c r="V39" s="192"/>
      <c r="W39" s="192"/>
      <c r="X39" s="192"/>
      <c r="Y39" s="192"/>
      <c r="Z39" s="193"/>
    </row>
    <row r="40" spans="1:26" ht="12" customHeight="1" x14ac:dyDescent="0.35">
      <c r="A40" s="197" t="s">
        <v>240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-32</v>
      </c>
      <c r="F40" s="38">
        <f>IF(_xlfn.XLOOKUP(A40,OptionsTable[Name],OptionsTable[xS],,,)=FALSE,1,IF($B$4&gt;0,$E$4,1))</f>
        <v>1</v>
      </c>
      <c r="G40" s="58">
        <v>32</v>
      </c>
      <c r="H40" s="199" t="str">
        <f>IF(_xlfn.XLOOKUP(A40,OptionsTable[Name],OptionsTable[Notes],,,)="","",_xlfn.XLOOKUP(A40,OptionsTable[Name],OptionsTable[Notes],,,))</f>
        <v>DM+1 to Max skill</v>
      </c>
      <c r="I40" s="200"/>
      <c r="J40" s="200"/>
      <c r="K40" s="44">
        <f>_xlfn.XLOOKUP(A40,OptionsTable[Name],OptionsTable[TL],,,)</f>
        <v>8</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6400</v>
      </c>
      <c r="R40" s="191"/>
      <c r="S40" s="192"/>
      <c r="T40" s="192"/>
      <c r="U40" s="192"/>
      <c r="V40" s="192"/>
      <c r="W40" s="192"/>
      <c r="X40" s="192"/>
      <c r="Y40" s="192"/>
      <c r="Z40" s="193"/>
    </row>
    <row r="41" spans="1:26" ht="12" customHeight="1" x14ac:dyDescent="0.35">
      <c r="A41" s="197" t="s">
        <v>560</v>
      </c>
      <c r="B41" s="198"/>
      <c r="C41" s="198"/>
      <c r="D41" s="241"/>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-32</v>
      </c>
      <c r="F41" s="38">
        <f>IF(_xlfn.XLOOKUP(A41,OptionsTable[Name],OptionsTable[xS],,,)=FALSE,1,IF($B$4&gt;0,$E$4,1))</f>
        <v>1</v>
      </c>
      <c r="G41" s="58">
        <v>4</v>
      </c>
      <c r="H41" s="199" t="str">
        <f>IF(_xlfn.XLOOKUP(A41,OptionsTable[Name],OptionsTable[Notes],,,)="","",_xlfn.XLOOKUP(A41,OptionsTable[Name],OptionsTable[Notes],,,))</f>
        <v>DM+1 to revival</v>
      </c>
      <c r="I41" s="200"/>
      <c r="J41" s="200"/>
      <c r="K41" s="44">
        <f>_xlfn.XLOOKUP(A41,OptionsTable[Name],OptionsTable[TL],,,)</f>
        <v>12</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80000</v>
      </c>
      <c r="R41" s="191"/>
      <c r="S41" s="192"/>
      <c r="T41" s="192"/>
      <c r="U41" s="192"/>
      <c r="V41" s="192"/>
      <c r="W41" s="192"/>
      <c r="X41" s="192"/>
      <c r="Y41" s="192"/>
      <c r="Z41" s="193"/>
    </row>
    <row r="42" spans="1:26" ht="12" customHeight="1" x14ac:dyDescent="0.35">
      <c r="A42" s="197" t="s">
        <v>203</v>
      </c>
      <c r="B42" s="198"/>
      <c r="C42" s="198"/>
      <c r="D42" s="241"/>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-1</v>
      </c>
      <c r="F42" s="38">
        <f>IF(_xlfn.XLOOKUP(A42,OptionsTable[Name],OptionsTable[xS],,,)=FALSE,1,IF($B$4&gt;0,$E$4,1))</f>
        <v>1</v>
      </c>
      <c r="G42" s="58"/>
      <c r="H42" s="199" t="str">
        <f>IF(_xlfn.XLOOKUP(A42,OptionsTable[Name],OptionsTable[Notes],,,)="","",_xlfn.XLOOKUP(A42,OptionsTable[Name],OptionsTable[Notes],,,))</f>
        <v>3 max skill</v>
      </c>
      <c r="I42" s="200"/>
      <c r="J42" s="200"/>
      <c r="K42" s="44">
        <f>_xlfn.XLOOKUP(A42,OptionsTable[Name],OptionsTable[TL],,,)</f>
        <v>14</v>
      </c>
      <c r="L42" s="120"/>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10000</v>
      </c>
      <c r="R42" s="191"/>
      <c r="S42" s="192"/>
      <c r="T42" s="192"/>
      <c r="U42" s="192"/>
      <c r="V42" s="192"/>
      <c r="W42" s="192"/>
      <c r="X42" s="192"/>
      <c r="Y42" s="192"/>
      <c r="Z42" s="193"/>
    </row>
    <row r="43" spans="1:26" ht="12" customHeight="1" x14ac:dyDescent="0.35">
      <c r="A43" s="197" t="s">
        <v>190</v>
      </c>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-8</v>
      </c>
      <c r="F43" s="38">
        <f>IF(_xlfn.XLOOKUP(A43,OptionsTable[Name],OptionsTable[xS],,,)=FALSE,1,IF($B$4&gt;0,$E$4,1))</f>
        <v>1</v>
      </c>
      <c r="G43" s="58">
        <v>8</v>
      </c>
      <c r="H43" s="199" t="str">
        <f>IF(_xlfn.XLOOKUP(A43,OptionsTable[Name],OptionsTable[Notes],,,)="","",_xlfn.XLOOKUP(A43,OptionsTable[Name],OptionsTable[Notes],,,))</f>
        <v>2 kg or litres / slot</v>
      </c>
      <c r="I43" s="200"/>
      <c r="J43" s="200"/>
      <c r="K43" s="44">
        <f>_xlfn.XLOOKUP(A43,OptionsTable[Name],OptionsTable[TL],,,)</f>
        <v>6</v>
      </c>
      <c r="L43" s="120"/>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800</v>
      </c>
      <c r="R43" s="191"/>
      <c r="S43" s="192"/>
      <c r="T43" s="192"/>
      <c r="U43" s="192"/>
      <c r="V43" s="192"/>
      <c r="W43" s="192"/>
      <c r="X43" s="192"/>
      <c r="Y43" s="192"/>
      <c r="Z43" s="193"/>
    </row>
    <row r="44" spans="1:26" ht="12" customHeight="1" x14ac:dyDescent="0.35">
      <c r="A44" s="30" t="s">
        <v>471</v>
      </c>
      <c r="B44" s="157"/>
      <c r="C44" s="157"/>
      <c r="D44" s="15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-11</v>
      </c>
      <c r="F44" s="38">
        <f>IF(_xlfn.XLOOKUP(A44,OptionsTable[Name],OptionsTable[xS],,,)=FALSE,1,IF($B$4&gt;0,$E$4,1))</f>
        <v>1</v>
      </c>
      <c r="G44" s="58">
        <v>11</v>
      </c>
      <c r="H44" s="199" t="str">
        <f>IF(_xlfn.XLOOKUP(A44,OptionsTable[Name],OptionsTable[Notes],,,)="","",_xlfn.XLOOKUP(A44,OptionsTable[Name],OptionsTable[Notes],,,))</f>
        <v>2 kg or litres / slot</v>
      </c>
      <c r="I44" s="200"/>
      <c r="J44" s="200"/>
      <c r="K44" s="44">
        <f>_xlfn.XLOOKUP(A44,OptionsTable[Name],OptionsTable[TL],,,)</f>
        <v>6</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550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220"/>
      <c r="B56" s="221"/>
      <c r="C56" s="221"/>
      <c r="D56" s="221"/>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5" t="str">
        <f>IF(_xlfn.XLOOKUP(A56,OptionsTable[Name],OptionsTable[Trait],,,)="","",_xlfn.XLOOKUP(A56,OptionsTable[Name],OptionsTable[Trait],,,))</f>
        <v/>
      </c>
      <c r="O56" s="5" t="str">
        <f>IF(_xlfn.XLOOKUP(A56,OptionsTable[Name],OptionsTable[Skill],,,)="","",_xlfn.XLOOKUP(A56,OptionsTable[Name],OptionsTable[Skill],,,))</f>
        <v/>
      </c>
      <c r="P56" s="137">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83</v>
      </c>
      <c r="C64" s="227"/>
      <c r="D64" s="227"/>
      <c r="E64" s="40">
        <f>IF(L64+K64-O2&gt;B4,-1,0)</f>
        <v>0</v>
      </c>
      <c r="F64" s="38"/>
      <c r="H64" s="1">
        <f>_xlfn.XLOOKUP(B64,Brains[Programming/Control],Brains[Base INT],,,)</f>
        <v>11</v>
      </c>
      <c r="I64" s="31">
        <f>IF(H64&gt;17,4,IF(H64&gt;14,3,IF(H64&gt;11,2,IF(H64&gt;8,1,IF(H64&gt;5,0,IF(H64&gt;2,-1,-2))))))</f>
        <v>1</v>
      </c>
      <c r="J64" s="1">
        <f>_xlfn.XLOOKUP(B64,Brains[Programming/Control],Brains[Computer/X],,,)</f>
        <v>5</v>
      </c>
      <c r="K64" s="44">
        <f>_xlfn.XLOOKUP(B64,Brains[Programming/Control],Brains[TL],,,)</f>
        <v>14</v>
      </c>
      <c r="L64">
        <f>_xlfn.XLOOKUP(B64,Brains[Programming/Control],Brains[Computer/X],,,)</f>
        <v>5</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125000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5</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12</v>
      </c>
      <c r="I66" s="15">
        <f>IF(H66&gt;17,4,IF(H66&gt;14,3,IF(H66&gt;11,2,IF(H66&gt;8,1,IF(H66&gt;5,0,IF(H66&gt;2,-1,-2))))))</f>
        <v>2</v>
      </c>
      <c r="K66" s="44"/>
      <c r="L66" s="56">
        <f>L65+F66</f>
        <v>4</v>
      </c>
      <c r="M66" t="s">
        <v>310</v>
      </c>
      <c r="P66" s="137" cm="1">
        <f t="array" ref="P66">_xlfn.IFS(B66=0,0,B66=1,(H64+1)*1000,B66=2,(H64+1)*(H64+2)*1000,B66=3,(H64+1)*(H64+2)*(H64+3)*1000)*IF(H66&gt;11,2,1)</f>
        <v>24000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5</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5,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481550</v>
      </c>
    </row>
    <row r="92" spans="1:16" ht="12" customHeight="1" thickBot="1" x14ac:dyDescent="0.45">
      <c r="A92" s="7"/>
      <c r="O92" s="149" t="str">
        <f>CONCATENATE("Cost With "&amp;X6*100 &amp; "% Discount")</f>
        <v>Cost With 10% Discount</v>
      </c>
      <c r="P92" s="147">
        <f>P2</f>
        <v>433300</v>
      </c>
    </row>
    <row r="93" spans="1:16" ht="12" customHeight="1" x14ac:dyDescent="0.35">
      <c r="B93" s="110"/>
    </row>
    <row r="94" spans="1:16" ht="12" customHeight="1" x14ac:dyDescent="0.4">
      <c r="B94" s="111"/>
    </row>
    <row r="95" spans="1:16" ht="12" customHeight="1" x14ac:dyDescent="0.35">
      <c r="A95" s="110"/>
      <c r="B95" s="112"/>
    </row>
  </sheetData>
  <dataConsolidate/>
  <mergeCells count="112">
    <mergeCell ref="B71:D71"/>
    <mergeCell ref="B73:C73"/>
    <mergeCell ref="B74:C74"/>
    <mergeCell ref="B75:C75"/>
    <mergeCell ref="B76:C76"/>
    <mergeCell ref="B77:C77"/>
    <mergeCell ref="A61:D61"/>
    <mergeCell ref="H61:I61"/>
    <mergeCell ref="B64:D64"/>
    <mergeCell ref="B65:D65"/>
    <mergeCell ref="B69:D69"/>
    <mergeCell ref="B70:D70"/>
    <mergeCell ref="B90:C90"/>
    <mergeCell ref="B84:C84"/>
    <mergeCell ref="B85:C85"/>
    <mergeCell ref="B86:C86"/>
    <mergeCell ref="B87:C87"/>
    <mergeCell ref="B88:C88"/>
    <mergeCell ref="B89:C89"/>
    <mergeCell ref="B78:C78"/>
    <mergeCell ref="B79:C79"/>
    <mergeCell ref="B80:C80"/>
    <mergeCell ref="B81:C81"/>
    <mergeCell ref="B82:C82"/>
    <mergeCell ref="B83:C83"/>
    <mergeCell ref="A57:D57"/>
    <mergeCell ref="H57:J57"/>
    <mergeCell ref="A59:D59"/>
    <mergeCell ref="H59:I59"/>
    <mergeCell ref="A60:D60"/>
    <mergeCell ref="H60:I60"/>
    <mergeCell ref="A54:D54"/>
    <mergeCell ref="H54:J54"/>
    <mergeCell ref="A55:D55"/>
    <mergeCell ref="H55:J55"/>
    <mergeCell ref="A56:D56"/>
    <mergeCell ref="H56:J56"/>
    <mergeCell ref="A52:D52"/>
    <mergeCell ref="H52:J52"/>
    <mergeCell ref="A53:D53"/>
    <mergeCell ref="H53:J53"/>
    <mergeCell ref="A48:D48"/>
    <mergeCell ref="H48:J48"/>
    <mergeCell ref="A49:D49"/>
    <mergeCell ref="H49:J49"/>
    <mergeCell ref="A50:D50"/>
    <mergeCell ref="H50:J50"/>
    <mergeCell ref="H46:J46"/>
    <mergeCell ref="A47:D47"/>
    <mergeCell ref="H47:J47"/>
    <mergeCell ref="A42:D42"/>
    <mergeCell ref="H42:J42"/>
    <mergeCell ref="A43:D43"/>
    <mergeCell ref="H43:J43"/>
    <mergeCell ref="H44:J44"/>
    <mergeCell ref="A51:D51"/>
    <mergeCell ref="H51:J51"/>
    <mergeCell ref="R20:Z75"/>
    <mergeCell ref="G11:H11"/>
    <mergeCell ref="K11:L11"/>
    <mergeCell ref="S11:Z11"/>
    <mergeCell ref="G12:O12"/>
    <mergeCell ref="S12:Z12"/>
    <mergeCell ref="R13:R17"/>
    <mergeCell ref="S13:Z17"/>
    <mergeCell ref="A39:D39"/>
    <mergeCell ref="H39:J39"/>
    <mergeCell ref="A40:D40"/>
    <mergeCell ref="H40:J40"/>
    <mergeCell ref="A41:D41"/>
    <mergeCell ref="H41:J41"/>
    <mergeCell ref="H35:J35"/>
    <mergeCell ref="A36:D36"/>
    <mergeCell ref="H36:J36"/>
    <mergeCell ref="A37:D37"/>
    <mergeCell ref="H37:J37"/>
    <mergeCell ref="A38:D38"/>
    <mergeCell ref="H38:J38"/>
    <mergeCell ref="A45:D45"/>
    <mergeCell ref="H45:J45"/>
    <mergeCell ref="A46:D46"/>
    <mergeCell ref="A32:D32"/>
    <mergeCell ref="H32:J32"/>
    <mergeCell ref="A33:D33"/>
    <mergeCell ref="H33:J33"/>
    <mergeCell ref="A34:D34"/>
    <mergeCell ref="H34:J34"/>
    <mergeCell ref="B29:D29"/>
    <mergeCell ref="H29:J29"/>
    <mergeCell ref="A30:D30"/>
    <mergeCell ref="H30:J30"/>
    <mergeCell ref="A31:D31"/>
    <mergeCell ref="H31:J31"/>
    <mergeCell ref="B2:D2"/>
    <mergeCell ref="F2:H2"/>
    <mergeCell ref="I2:M2"/>
    <mergeCell ref="G3:J3"/>
    <mergeCell ref="G4:I4"/>
    <mergeCell ref="K4:L4"/>
    <mergeCell ref="G10:H10"/>
    <mergeCell ref="K10:M10"/>
    <mergeCell ref="S10:Z10"/>
    <mergeCell ref="G9:I9"/>
    <mergeCell ref="K9:M9"/>
    <mergeCell ref="S9:Z9"/>
    <mergeCell ref="G5:I5"/>
    <mergeCell ref="H6:N6"/>
    <mergeCell ref="G7:I7"/>
    <mergeCell ref="S7:Z7"/>
    <mergeCell ref="G8:I8"/>
    <mergeCell ref="K8:M8"/>
    <mergeCell ref="S8:Z8"/>
  </mergeCells>
  <conditionalFormatting sqref="B14">
    <cfRule type="expression" dxfId="66" priority="7">
      <formula>ABS($J$14-6) &gt; 6</formula>
    </cfRule>
  </conditionalFormatting>
  <conditionalFormatting sqref="E2">
    <cfRule type="expression" dxfId="65" priority="5">
      <formula>$E$2&lt;0</formula>
    </cfRule>
  </conditionalFormatting>
  <conditionalFormatting sqref="E15:E17">
    <cfRule type="expression" dxfId="64" priority="1">
      <formula>AND($B$4=0,E15&lt;0)</formula>
    </cfRule>
  </conditionalFormatting>
  <conditionalFormatting sqref="K5 K30:K34 K59:K61 K64:K67 K73:K90">
    <cfRule type="expression" dxfId="63" priority="6">
      <formula>K5&gt;$O$2</formula>
    </cfRule>
  </conditionalFormatting>
  <conditionalFormatting sqref="K36:K57">
    <cfRule type="expression" dxfId="62" priority="3">
      <formula>K36&gt;$O$2</formula>
    </cfRule>
  </conditionalFormatting>
  <conditionalFormatting sqref="L57">
    <cfRule type="expression" dxfId="61" priority="2">
      <formula>L57&gt;$O$2</formula>
    </cfRule>
  </conditionalFormatting>
  <conditionalFormatting sqref="L67">
    <cfRule type="expression" dxfId="60" priority="4">
      <formula>L67&lt;0</formula>
    </cfRule>
  </conditionalFormatting>
  <dataValidations count="20">
    <dataValidation type="whole" allowBlank="1" showInputMessage="1" showErrorMessage="1" error="Total Armour cannot exceed Maximum" sqref="B7" xr:uid="{1E019661-3E63-434D-AF65-C217425CA6C2}">
      <formula1>-1</formula1>
      <formula2>L7-MID(A7,18,1)</formula2>
    </dataValidation>
    <dataValidation type="whole" allowBlank="1" showInputMessage="1" showErrorMessage="1" error="Max DEX = TL+3" sqref="K19:K28" xr:uid="{BC17AAD2-F70F-417C-AA35-8F3F0290C3C8}">
      <formula1>0</formula1>
      <formula2>J19-D19</formula2>
    </dataValidation>
    <dataValidation type="whole" allowBlank="1" showInputMessage="1" showErrorMessage="1" error="Max STR = Lesser of Size + TL or SIZE X 4" sqref="G19:G28" xr:uid="{E256AA8F-F521-4D09-9C06-865AD6F1E395}">
      <formula1>0</formula1>
      <formula2>F19-C19</formula2>
    </dataValidation>
    <dataValidation type="whole" allowBlank="1" showInputMessage="1" showErrorMessage="1" sqref="E13:E14" xr:uid="{34654004-34DB-4F5C-8F20-07D82C6899CC}">
      <formula1>0</formula1>
      <formula2>#REF!/2</formula2>
    </dataValidation>
    <dataValidation type="whole" allowBlank="1" showInputMessage="1" showErrorMessage="1" sqref="C14:D14" xr:uid="{6B6C1FFC-E169-48C9-8701-44F1651F52D1}">
      <formula1>0</formula1>
      <formula2>D15/2</formula2>
    </dataValidation>
    <dataValidation type="whole" allowBlank="1" showInputMessage="1" showErrorMessage="1" sqref="C13:D13" xr:uid="{798B77B5-313B-4554-8804-2C990889491F}">
      <formula1>0</formula1>
      <formula2>D5/2</formula2>
    </dataValidation>
    <dataValidation type="whole" allowBlank="1" showInputMessage="1" showErrorMessage="1" sqref="C11:D11" xr:uid="{F72A58A4-BDA3-4B66-96A9-FB626CC14018}">
      <formula1>0</formula1>
      <formula2>D4/2</formula2>
    </dataValidation>
    <dataValidation type="whole" allowBlank="1" showInputMessage="1" showErrorMessage="1" error="Must be whole number between -6 and +12" sqref="B14" xr:uid="{5053857A-035D-4384-AADA-96A70F9E2191}">
      <formula1>-6</formula1>
      <formula2>12</formula2>
    </dataValidation>
    <dataValidation type="list" allowBlank="1" showInputMessage="1" showErrorMessage="1" sqref="B16" xr:uid="{93A9431F-652E-4E13-8177-49368D59982D}">
      <formula1>"No,1X,2X,3X"</formula1>
    </dataValidation>
    <dataValidation type="list" allowBlank="1" showInputMessage="1" showErrorMessage="1" sqref="B15" xr:uid="{3AEB15C2-397F-4CA7-8B60-D8969129352E}">
      <formula1>"FALSE,TRUE"</formula1>
    </dataValidation>
    <dataValidation type="list" allowBlank="1" showInputMessage="1" showErrorMessage="1" sqref="D73:D90 B66" xr:uid="{F42DA03F-84AD-4083-B9DC-B533FD4F996E}">
      <formula1>"0,1,2,3"</formula1>
    </dataValidation>
    <dataValidation type="list" allowBlank="1" showInputMessage="1" showErrorMessage="1" sqref="B13" xr:uid="{021A4F32-10C6-4C76-9C3B-99AEA756C282}">
      <formula1>"0,1,2,3,4"</formula1>
    </dataValidation>
    <dataValidation type="list" allowBlank="1" showInputMessage="1" showErrorMessage="1" sqref="B27:B28 B67 B8" xr:uid="{2A1B3606-E770-4B51-8BA3-9F03C8D442A9}">
      <formula1>"TRUE,FALSE"</formula1>
    </dataValidation>
    <dataValidation type="whole" allowBlank="1" showInputMessage="1" showErrorMessage="1" error="Max Manipulator Size = Chassis Size +2_x000a_Min Manipulator Size = 0_x000a_Whole Numbers Only" sqref="B19:B26" xr:uid="{9DC37F55-BC02-44EB-8E88-9DB39579F2EB}">
      <formula1>0</formula1>
      <formula2>$B$4+2</formula2>
    </dataValidation>
    <dataValidation type="list" allowBlank="1" showInputMessage="1" showErrorMessage="1" sqref="O2" xr:uid="{7A45430C-49CA-4DE0-B0A0-D4804BE0AD25}">
      <formula1>"7,8,9,10,11,12,13,14,15,16,17,18"</formula1>
    </dataValidation>
    <dataValidation type="list" allowBlank="1" showInputMessage="1" showErrorMessage="1" sqref="B4" xr:uid="{9C5C0DBC-DF16-4C5B-B727-A818290BDE0D}">
      <formula1>"0,1,2,3,4,5,6,7,8"</formula1>
    </dataValidation>
    <dataValidation type="list" allowBlank="1" showInputMessage="1" showErrorMessage="1" error="Maximum = 3" sqref="B9" xr:uid="{9F0FFDAE-4553-4BB8-BC8C-C12F155127F9}">
      <formula1>"0,1,2,3"</formula1>
    </dataValidation>
    <dataValidation type="whole" allowBlank="1" showInputMessage="1" showErrorMessage="1" sqref="E11" xr:uid="{30A1B193-4829-4A07-9CE2-407CEEAA74F6}">
      <formula1>0</formula1>
      <formula2>J4/2</formula2>
    </dataValidation>
    <dataValidation type="whole" allowBlank="1" showInputMessage="1" showErrorMessage="1" error="Must be whole number. No more than 50% of slots may be used for Resiliency" sqref="B10" xr:uid="{D7415CE8-D023-4FC8-A8A8-F584DB9B3FBF}">
      <formula1>0</formula1>
      <formula2>E4/2</formula2>
    </dataValidation>
    <dataValidation type="whole" allowBlank="1" showInputMessage="1" showErrorMessage="1" error="Must be a negative number no less than a 50% of the base hits" sqref="B11" xr:uid="{87E95096-F758-45DB-AEF6-E011B75DC747}">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3277643B-C2B7-44C5-A26D-90B3E1692CC3}">
          <x14:formula1>
            <xm:f>Options!$C$9:$C$256</xm:f>
          </x14:formula1>
          <xm:sqref>A36:A56</xm:sqref>
        </x14:dataValidation>
        <x14:dataValidation type="list" allowBlank="1" showInputMessage="1" showErrorMessage="1" xr:uid="{9A610D73-F3F0-44B1-B79B-2C566F464A84}">
          <x14:formula1>
            <xm:f>Brains!$K$3:$K$16</xm:f>
          </x14:formula1>
          <xm:sqref>B65</xm:sqref>
        </x14:dataValidation>
        <x14:dataValidation type="list" allowBlank="1" showInputMessage="1" showErrorMessage="1" xr:uid="{D44440F4-DF75-4600-AF6D-B47FC194BCEA}">
          <x14:formula1>
            <xm:f>Packages!$B$23:$B$25</xm:f>
          </x14:formula1>
          <xm:sqref>B71</xm:sqref>
        </x14:dataValidation>
        <x14:dataValidation type="list" allowBlank="1" showInputMessage="1" showErrorMessage="1" xr:uid="{2A14F1B8-EBA3-492C-863B-F67111EAA935}">
          <x14:formula1>
            <xm:f>Packages!$B$3:$B$7</xm:f>
          </x14:formula1>
          <xm:sqref>B69</xm:sqref>
        </x14:dataValidation>
        <x14:dataValidation type="list" allowBlank="1" showInputMessage="1" showErrorMessage="1" xr:uid="{605095CC-4E06-416D-8E81-7DE262857D2F}">
          <x14:formula1>
            <xm:f>Brains!$B$3:$B$19</xm:f>
          </x14:formula1>
          <xm:sqref>B64</xm:sqref>
        </x14:dataValidation>
        <x14:dataValidation type="list" allowBlank="1" showInputMessage="1" showErrorMessage="1" xr:uid="{570CEAFA-1F89-4969-82E4-D7F67AC6BF54}">
          <x14:formula1>
            <xm:f>Packages!$B$11:$B$19</xm:f>
          </x14:formula1>
          <xm:sqref>B70</xm:sqref>
        </x14:dataValidation>
        <x14:dataValidation type="list" allowBlank="1" showInputMessage="1" showErrorMessage="1" xr:uid="{E58DE69F-E7B0-452A-9B98-335E0C6DC94D}">
          <x14:formula1>
            <xm:f>Chassis!$H$3:$H$13</xm:f>
          </x14:formula1>
          <xm:sqref>B17 B5</xm:sqref>
        </x14:dataValidation>
        <x14:dataValidation type="list" allowBlank="1" showInputMessage="1" showErrorMessage="1" xr:uid="{06BC9213-8381-4FFC-A178-20866A145AA5}">
          <x14:formula1>
            <xm:f>Packages!$B$29:$B$82</xm:f>
          </x14:formula1>
          <xm:sqref>A73:A90</xm:sqref>
        </x14:dataValidation>
        <x14:dataValidation type="list" allowBlank="1" showInputMessage="1" showErrorMessage="1" xr:uid="{7E7831D8-017E-45BB-8626-7620D690B393}">
          <x14:formula1>
            <xm:f>Options!$C$9:$C$71</xm:f>
          </x14:formula1>
          <xm:sqref>A30:A34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6562-C96F-4D39-A48A-73005C21BBE0}">
  <sheetPr>
    <tabColor rgb="FF92D050"/>
  </sheetPr>
  <dimension ref="A1:Z93"/>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829</v>
      </c>
      <c r="C2" s="204"/>
      <c r="D2" s="205"/>
      <c r="E2" s="36">
        <f>SUM(E5:E90)+E4</f>
        <v>0</v>
      </c>
      <c r="F2" s="206" t="s">
        <v>184</v>
      </c>
      <c r="G2" s="207"/>
      <c r="H2" s="208"/>
      <c r="I2" s="203" t="s">
        <v>776</v>
      </c>
      <c r="J2" s="204"/>
      <c r="K2" s="204"/>
      <c r="L2" s="204"/>
      <c r="M2" s="204"/>
      <c r="N2" s="79" t="s">
        <v>315</v>
      </c>
      <c r="O2" s="37">
        <v>10</v>
      </c>
      <c r="P2" s="151">
        <f>Z6</f>
        <v>133900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18</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Basic Emergency AutoBerth</v>
      </c>
      <c r="S6" s="144">
        <f>M11</f>
        <v>72</v>
      </c>
      <c r="T6" s="144" t="str">
        <f>B5</f>
        <v>None</v>
      </c>
      <c r="U6" s="144" t="str">
        <f>_xlfn.CONCAT(J14," m")</f>
        <v>0 m</v>
      </c>
      <c r="V6" s="145">
        <f>O2</f>
        <v>10</v>
      </c>
      <c r="W6" s="150">
        <f>P91</f>
        <v>148800</v>
      </c>
      <c r="X6" s="152">
        <f>IF(I2="Standard Design",0.1,0)</f>
        <v>0.1</v>
      </c>
      <c r="Y6" s="153">
        <v>2</v>
      </c>
      <c r="Z6" s="148">
        <f>FLOOR(P91*(1-X6),100)</f>
        <v>133900</v>
      </c>
    </row>
    <row r="7" spans="1:26" ht="12" customHeight="1" x14ac:dyDescent="0.4">
      <c r="A7" s="92" t="str">
        <f>IF( B4&gt;0,IF(COUNT(L36:L56)&gt;0,"Armour (Base =  +0)",_xlfn.CONCAT("Armour (Base =  +",_xlfn.XLOOKUP($O$2,Armour[TL],Armour[Base],,,),")")),_xlfn.CONCAT("Armour (Base =  +",_xlfn.XLOOKUP($O$2,Armour[TL],Armour[Base],,,)-2,")"))</f>
        <v>Armour (Base =  +3)</v>
      </c>
      <c r="B7" s="29">
        <v>0</v>
      </c>
      <c r="E7" s="115" cm="1">
        <f t="array" ref="E7">IF(ROUNDUP(_xlfn.XLOOKUP($O$2,Armour[TL],Armour[Slots]*B7*E4,,,),0)&lt;B7/F7,-ROUNDUP(B7/F7,0),-ROUNDUP(_xlfn.XLOOKUP($O$2,Armour[TL],Armour[Slots]*B7*E4,,,),0))</f>
        <v>0</v>
      </c>
      <c r="F7" s="38">
        <f>_xlfn.XLOOKUP($O$2,Armour[TL],Armour[Max/slot],,,)</f>
        <v>2</v>
      </c>
      <c r="G7" s="209" t="s">
        <v>183</v>
      </c>
      <c r="H7" s="209"/>
      <c r="I7" s="210"/>
      <c r="J7" s="33">
        <f>IF(B4&gt;0,IF(COUNT(L36:L56)&gt;0,B7,_xlfn.XLOOKUP($O$2,Armour[TL],Armour[Base],,,)+B7),_xlfn.XLOOKUP($O$2,Armour[TL],Armour[Base],,,)-2)</f>
        <v>3</v>
      </c>
      <c r="K7" s="93" t="s">
        <v>313</v>
      </c>
      <c r="L7" s="52">
        <f>_xlfn.XLOOKUP($O$2,Armour[TL],Armour[Max],,,)</f>
        <v>30</v>
      </c>
      <c r="N7" s="5" t="str">
        <f>_xlfn.CONCAT("Armour (+",IF(COUNT(L36:L56)&gt;0,0+B7, _xlfn.XLOOKUP($O$2,Armour[TL],Armour[Base],,,)+B7+IF(B4=0,-2,0)),"), ")</f>
        <v xml:space="preserve">Armour (+3), </v>
      </c>
      <c r="P7" s="137" cm="1">
        <f t="array" ref="P7">IF(B7&gt;-1,_xlfn.XLOOKUP($O$2,Armour[TL],-Armour[Cost/Slot]*E7,,,),-P5*0.1)</f>
        <v>0</v>
      </c>
      <c r="R7" s="119" t="s">
        <v>90</v>
      </c>
      <c r="S7" s="162" t="str">
        <f>_xlfn.CONCAT(O9,O13,O19:O28,O30:O34,O36:O57,O64,O69:O71,O73:O90)</f>
        <v xml:space="preserve">Medic 0,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432</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432</v>
      </c>
      <c r="K9" s="177" t="s">
        <v>64</v>
      </c>
      <c r="L9" s="178"/>
      <c r="M9" s="179"/>
      <c r="O9" s="5" t="str">
        <f>IF(B9&gt;0,_xlfn.CONCAT("Athletics (endurance) ",B9,", "),"")</f>
        <v/>
      </c>
      <c r="P9" s="137">
        <f>-500*E9</f>
        <v>0</v>
      </c>
      <c r="R9" s="116" t="s">
        <v>49</v>
      </c>
      <c r="S9" s="162" t="str">
        <f>IF(COUNT(B19:B26)=0,"none",_xlfn.CONCAT(COUNT(B19:B26), " X (STR ",H19," DEX ",L19,")"))</f>
        <v>5 X (STR 5 DEX 6)</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432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(+3),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N/A (INT 4)</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Medical Chamber, Medical Chamber Option: Low berth (basic), Medikit (basic), Storage Compartment (refrigerated), Vacuum Environment Protection, ,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432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6</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13</v>
      </c>
      <c r="K19" s="16">
        <v>0</v>
      </c>
      <c r="L19" s="61">
        <f t="shared" ref="L19:L28" si="5">D19+K19</f>
        <v>6</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6</v>
      </c>
      <c r="E20" s="101" cm="1">
        <f t="array" ref="E20">ROUNDUP(_xlfn.IFS($B$4-B20=0,0,$B$4-B20=1,$E$4*0.05,$B$4-B20=2,$E$4*0.08,$B$4-B20=3,$E$4*0.09,$B$4-B20&gt;3,$E$4*0.1,$B$4-B20&lt;0,$E$4*0.1*($B$4-B20)),0)</f>
        <v>13</v>
      </c>
      <c r="F20" s="54">
        <f t="shared" si="1"/>
        <v>10</v>
      </c>
      <c r="G20" s="16"/>
      <c r="H20" s="6">
        <f t="shared" si="2"/>
        <v>5</v>
      </c>
      <c r="I20" s="21">
        <f t="shared" si="3"/>
        <v>-1</v>
      </c>
      <c r="J20" s="54">
        <f t="shared" si="4"/>
        <v>13</v>
      </c>
      <c r="K20" s="16"/>
      <c r="L20" s="6">
        <f t="shared" si="5"/>
        <v>6</v>
      </c>
      <c r="M20" s="21">
        <f t="shared" si="6"/>
        <v>0</v>
      </c>
      <c r="O20" s="5" t="str">
        <f t="shared" si="7"/>
        <v/>
      </c>
      <c r="P20" s="137">
        <f>IF((B20-$B$4)*100&gt;-0.2*$P$5,(B20-$B$4)*100,-0.2*$P$5)+B20*100*(G20)^2+B20*200*(K20)^2</f>
        <v>-500</v>
      </c>
      <c r="R20" s="232" t="s">
        <v>860</v>
      </c>
      <c r="S20" s="233"/>
      <c r="T20" s="233"/>
      <c r="U20" s="233"/>
      <c r="V20" s="233"/>
      <c r="W20" s="233"/>
      <c r="X20" s="233"/>
      <c r="Y20" s="233"/>
      <c r="Z20" s="234"/>
    </row>
    <row r="21" spans="1:26" ht="12" customHeight="1" x14ac:dyDescent="0.35">
      <c r="A21" s="93" t="s">
        <v>52</v>
      </c>
      <c r="B21" s="30">
        <v>3</v>
      </c>
      <c r="C21" s="6">
        <f t="shared" si="0"/>
        <v>5</v>
      </c>
      <c r="D21" s="97">
        <f t="shared" si="8"/>
        <v>6</v>
      </c>
      <c r="E21" s="101" cm="1">
        <f t="array" ref="E21">IF(B21=0,0,ROUNDUP(_xlfn.IFS($B$4-B21=0,-$E$4*0.1,$B$4-B21=1,-$E$4*0.05,$B$4-B21=2,-$E$4*0.02,$B$4-B21=3,-$E$4*0.01,$B$4-B21&gt;3,-$E$4*0.01,$B$4-B21&lt;0,$E$4*0.2*($B$4-B21)),0))</f>
        <v>-2</v>
      </c>
      <c r="F21" s="54">
        <f t="shared" si="1"/>
        <v>10</v>
      </c>
      <c r="G21" s="16"/>
      <c r="H21" s="6">
        <f t="shared" si="2"/>
        <v>5</v>
      </c>
      <c r="I21" s="21">
        <f t="shared" si="3"/>
        <v>-1</v>
      </c>
      <c r="J21" s="54">
        <f t="shared" si="4"/>
        <v>13</v>
      </c>
      <c r="K21" s="16"/>
      <c r="L21" s="6">
        <f t="shared" si="5"/>
        <v>6</v>
      </c>
      <c r="M21" s="21">
        <f t="shared" si="6"/>
        <v>0</v>
      </c>
      <c r="O21" s="5" t="str">
        <f t="shared" si="7"/>
        <v/>
      </c>
      <c r="P21" s="137">
        <f t="shared" ref="P21:P26" si="9">(B21)*100+B21*100*(G21)^2+B21*200*(K21)^2</f>
        <v>300</v>
      </c>
      <c r="R21" s="235"/>
      <c r="S21" s="236"/>
      <c r="T21" s="236"/>
      <c r="U21" s="236"/>
      <c r="V21" s="236"/>
      <c r="W21" s="236"/>
      <c r="X21" s="236"/>
      <c r="Y21" s="236"/>
      <c r="Z21" s="237"/>
    </row>
    <row r="22" spans="1:26" ht="12" customHeight="1" x14ac:dyDescent="0.35">
      <c r="A22" s="93" t="s">
        <v>53</v>
      </c>
      <c r="B22" s="30">
        <v>3</v>
      </c>
      <c r="C22" s="6">
        <f t="shared" si="0"/>
        <v>5</v>
      </c>
      <c r="D22" s="97">
        <f t="shared" si="8"/>
        <v>6</v>
      </c>
      <c r="E22" s="101" cm="1">
        <f t="array" ref="E22">IF(B22=0,0,ROUNDUP(_xlfn.IFS($B$4-B22=0,-$E$4*0.1,$B$4-B22=1,-$E$4*0.05,$B$4-B22=2,-$E$4*0.02,$B$4-B22=3,-$E$4*0.01,$B$4-B22&gt;3,-$E$4*0.01,$B$4-B22&lt;0,$E$4*0.2*($B$4-B22)),0))</f>
        <v>-2</v>
      </c>
      <c r="F22" s="54">
        <f t="shared" si="1"/>
        <v>10</v>
      </c>
      <c r="G22" s="16"/>
      <c r="H22" s="6">
        <f t="shared" si="2"/>
        <v>5</v>
      </c>
      <c r="I22" s="21">
        <f t="shared" si="3"/>
        <v>-1</v>
      </c>
      <c r="J22" s="54">
        <f t="shared" si="4"/>
        <v>13</v>
      </c>
      <c r="K22" s="16"/>
      <c r="L22" s="6">
        <f t="shared" si="5"/>
        <v>6</v>
      </c>
      <c r="M22" s="21">
        <f t="shared" si="6"/>
        <v>0</v>
      </c>
      <c r="O22" s="5" t="str">
        <f t="shared" si="7"/>
        <v/>
      </c>
      <c r="P22" s="137">
        <f t="shared" si="9"/>
        <v>300</v>
      </c>
      <c r="R22" s="235"/>
      <c r="S22" s="236"/>
      <c r="T22" s="236"/>
      <c r="U22" s="236"/>
      <c r="V22" s="236"/>
      <c r="W22" s="236"/>
      <c r="X22" s="236"/>
      <c r="Y22" s="236"/>
      <c r="Z22" s="237"/>
    </row>
    <row r="23" spans="1:26" ht="12" customHeight="1" x14ac:dyDescent="0.35">
      <c r="A23" s="93" t="s">
        <v>54</v>
      </c>
      <c r="B23" s="30">
        <v>3</v>
      </c>
      <c r="C23" s="6">
        <f t="shared" si="0"/>
        <v>5</v>
      </c>
      <c r="D23" s="97">
        <f t="shared" si="8"/>
        <v>6</v>
      </c>
      <c r="E23" s="101" cm="1">
        <f t="array" ref="E23">IF(B23=0,0,ROUNDUP(_xlfn.IFS($B$4-B23=0,-$E$4*0.1,$B$4-B23=1,-$E$4*0.05,$B$4-B23=2,-$E$4*0.02,$B$4-B23=3,-$E$4*0.01,$B$4-B23&gt;3,-$E$4*0.01,$B$4-B23&lt;0,$E$4*0.2*($B$4-B23)),0))</f>
        <v>-2</v>
      </c>
      <c r="F23" s="54">
        <f t="shared" si="1"/>
        <v>10</v>
      </c>
      <c r="G23" s="16"/>
      <c r="H23" s="6">
        <f t="shared" si="2"/>
        <v>5</v>
      </c>
      <c r="I23" s="21">
        <f t="shared" si="3"/>
        <v>-1</v>
      </c>
      <c r="J23" s="54">
        <f t="shared" si="4"/>
        <v>13</v>
      </c>
      <c r="K23" s="16"/>
      <c r="L23" s="6">
        <f t="shared" si="5"/>
        <v>6</v>
      </c>
      <c r="M23" s="21">
        <f t="shared" si="6"/>
        <v>0</v>
      </c>
      <c r="O23" s="5" t="str">
        <f t="shared" si="7"/>
        <v/>
      </c>
      <c r="P23" s="137">
        <f t="shared" si="9"/>
        <v>300</v>
      </c>
      <c r="R23" s="235"/>
      <c r="S23" s="236"/>
      <c r="T23" s="236"/>
      <c r="U23" s="236"/>
      <c r="V23" s="236"/>
      <c r="W23" s="236"/>
      <c r="X23" s="236"/>
      <c r="Y23" s="236"/>
      <c r="Z23" s="237"/>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13</v>
      </c>
      <c r="K24" s="16"/>
      <c r="L24" s="6">
        <f t="shared" si="5"/>
        <v>0</v>
      </c>
      <c r="M24" s="21">
        <f t="shared" si="6"/>
        <v>-2</v>
      </c>
      <c r="O24" s="5" t="str">
        <f t="shared" si="7"/>
        <v/>
      </c>
      <c r="P24" s="137">
        <f t="shared" si="9"/>
        <v>0</v>
      </c>
      <c r="R24" s="235"/>
      <c r="S24" s="236"/>
      <c r="T24" s="236"/>
      <c r="U24" s="236"/>
      <c r="V24" s="236"/>
      <c r="W24" s="236"/>
      <c r="X24" s="236"/>
      <c r="Y24" s="236"/>
      <c r="Z24" s="237"/>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13</v>
      </c>
      <c r="K25" s="16"/>
      <c r="L25" s="6">
        <f t="shared" si="5"/>
        <v>0</v>
      </c>
      <c r="M25" s="21">
        <f t="shared" si="6"/>
        <v>-2</v>
      </c>
      <c r="O25" s="5" t="str">
        <f t="shared" si="7"/>
        <v/>
      </c>
      <c r="P25" s="137">
        <f t="shared" si="9"/>
        <v>0</v>
      </c>
      <c r="R25" s="235"/>
      <c r="S25" s="236"/>
      <c r="T25" s="236"/>
      <c r="U25" s="236"/>
      <c r="V25" s="236"/>
      <c r="W25" s="236"/>
      <c r="X25" s="236"/>
      <c r="Y25" s="236"/>
      <c r="Z25" s="237"/>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13</v>
      </c>
      <c r="K26" s="81"/>
      <c r="L26" s="82">
        <f t="shared" si="5"/>
        <v>0</v>
      </c>
      <c r="M26" s="83">
        <f t="shared" si="6"/>
        <v>-2</v>
      </c>
      <c r="O26" s="5" t="str">
        <f t="shared" si="7"/>
        <v/>
      </c>
      <c r="P26" s="137">
        <f t="shared" si="9"/>
        <v>0</v>
      </c>
      <c r="R26" s="235"/>
      <c r="S26" s="236"/>
      <c r="T26" s="236"/>
      <c r="U26" s="236"/>
      <c r="V26" s="236"/>
      <c r="W26" s="236"/>
      <c r="X26" s="236"/>
      <c r="Y26" s="236"/>
      <c r="Z26" s="237"/>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13</v>
      </c>
      <c r="K27" s="86"/>
      <c r="L27" s="87">
        <f t="shared" si="5"/>
        <v>0</v>
      </c>
      <c r="M27" s="88">
        <f t="shared" si="6"/>
        <v>-2</v>
      </c>
      <c r="N27" s="74"/>
      <c r="O27" s="89" t="str">
        <f t="shared" si="7"/>
        <v/>
      </c>
      <c r="P27" s="138">
        <f>(B27)*100*$B$4+B27*$B$4*100*(G27)^2+B27*$B$4*200*(K27)^2</f>
        <v>0</v>
      </c>
      <c r="R27" s="235"/>
      <c r="S27" s="236"/>
      <c r="T27" s="236"/>
      <c r="U27" s="236"/>
      <c r="V27" s="236"/>
      <c r="W27" s="236"/>
      <c r="X27" s="236"/>
      <c r="Y27" s="236"/>
      <c r="Z27" s="237"/>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13</v>
      </c>
      <c r="K28" s="19"/>
      <c r="L28" s="20">
        <f t="shared" si="5"/>
        <v>0</v>
      </c>
      <c r="M28" s="22">
        <f t="shared" si="6"/>
        <v>-2</v>
      </c>
      <c r="N28" s="24"/>
      <c r="O28" s="5" t="str">
        <f t="shared" si="7"/>
        <v/>
      </c>
      <c r="P28" s="136">
        <f>(B28)*100*$B$4+B28*$B$4*100*(G28)^2+B28*$B$4*200*(K28)^2</f>
        <v>0</v>
      </c>
      <c r="R28" s="235"/>
      <c r="S28" s="236"/>
      <c r="T28" s="236"/>
      <c r="U28" s="236"/>
      <c r="V28" s="236"/>
      <c r="W28" s="236"/>
      <c r="X28" s="236"/>
      <c r="Y28" s="236"/>
      <c r="Z28" s="237"/>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235"/>
      <c r="S29" s="236"/>
      <c r="T29" s="236"/>
      <c r="U29" s="236"/>
      <c r="V29" s="236"/>
      <c r="W29" s="236"/>
      <c r="X29" s="236"/>
      <c r="Y29" s="236"/>
      <c r="Z29" s="237"/>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235"/>
      <c r="S30" s="236"/>
      <c r="T30" s="236"/>
      <c r="U30" s="236"/>
      <c r="V30" s="236"/>
      <c r="W30" s="236"/>
      <c r="X30" s="236"/>
      <c r="Y30" s="236"/>
      <c r="Z30" s="237"/>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235"/>
      <c r="S31" s="236"/>
      <c r="T31" s="236"/>
      <c r="U31" s="236"/>
      <c r="V31" s="236"/>
      <c r="W31" s="236"/>
      <c r="X31" s="236"/>
      <c r="Y31" s="236"/>
      <c r="Z31" s="237"/>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235"/>
      <c r="S32" s="236"/>
      <c r="T32" s="236"/>
      <c r="U32" s="236"/>
      <c r="V32" s="236"/>
      <c r="W32" s="236"/>
      <c r="X32" s="236"/>
      <c r="Y32" s="236"/>
      <c r="Z32" s="237"/>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235"/>
      <c r="S33" s="236"/>
      <c r="T33" s="236"/>
      <c r="U33" s="236"/>
      <c r="V33" s="236"/>
      <c r="W33" s="236"/>
      <c r="X33" s="236"/>
      <c r="Y33" s="236"/>
      <c r="Z33" s="237"/>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235"/>
      <c r="S34" s="236"/>
      <c r="T34" s="236"/>
      <c r="U34" s="236"/>
      <c r="V34" s="236"/>
      <c r="W34" s="236"/>
      <c r="X34" s="236"/>
      <c r="Y34" s="236"/>
      <c r="Z34" s="237"/>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235"/>
      <c r="S35" s="236"/>
      <c r="T35" s="236"/>
      <c r="U35" s="236"/>
      <c r="V35" s="236"/>
      <c r="W35" s="236"/>
      <c r="X35" s="236"/>
      <c r="Y35" s="236"/>
      <c r="Z35" s="237"/>
    </row>
    <row r="36" spans="1:26" ht="12" customHeight="1" x14ac:dyDescent="0.35">
      <c r="A36" s="197" t="s">
        <v>240</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-160</v>
      </c>
      <c r="F36" s="38">
        <f>IF(_xlfn.XLOOKUP(A36,OptionsTable[Name],OptionsTable[xS],,,)=FALSE,1,IF($B$4&gt;0,$E$4,1))</f>
        <v>1</v>
      </c>
      <c r="G36" s="58">
        <v>160</v>
      </c>
      <c r="H36" s="199" t="str">
        <f>IF(_xlfn.XLOOKUP(A36,OptionsTable[Name],OptionsTable[Notes],,,)="","",_xlfn.XLOOKUP(A36,OptionsTable[Name],OptionsTable[Notes],,,))</f>
        <v>DM+1 to Max skill</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32000</v>
      </c>
      <c r="R36" s="235"/>
      <c r="S36" s="236"/>
      <c r="T36" s="236"/>
      <c r="U36" s="236"/>
      <c r="V36" s="236"/>
      <c r="W36" s="236"/>
      <c r="X36" s="236"/>
      <c r="Y36" s="236"/>
      <c r="Z36" s="237"/>
    </row>
    <row r="37" spans="1:26" ht="12" customHeight="1" x14ac:dyDescent="0.35">
      <c r="A37" s="197" t="s">
        <v>559</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-8</v>
      </c>
      <c r="F37" s="38">
        <f>IF(_xlfn.XLOOKUP(A37,OptionsTable[Name],OptionsTable[xS],,,)=FALSE,1,IF($B$4&gt;0,$E$4,1))</f>
        <v>1</v>
      </c>
      <c r="G37" s="58"/>
      <c r="H37" s="199" t="str">
        <f>IF(_xlfn.XLOOKUP(A37,OptionsTable[Name],OptionsTable[Notes],,,)="","",_xlfn.XLOOKUP(A37,OptionsTable[Name],OptionsTable[Notes],,,))</f>
        <v/>
      </c>
      <c r="I37" s="200"/>
      <c r="J37" s="200"/>
      <c r="K37" s="44">
        <f>_xlfn.XLOOKUP(A37,OptionsTable[Name],OptionsTable[TL],,,)</f>
        <v>10</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20000</v>
      </c>
      <c r="R37" s="235"/>
      <c r="S37" s="236"/>
      <c r="T37" s="236"/>
      <c r="U37" s="236"/>
      <c r="V37" s="236"/>
      <c r="W37" s="236"/>
      <c r="X37" s="236"/>
      <c r="Y37" s="236"/>
      <c r="Z37" s="237"/>
    </row>
    <row r="38" spans="1:26" ht="12" customHeight="1" x14ac:dyDescent="0.35">
      <c r="A38" s="197" t="s">
        <v>200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-1</v>
      </c>
      <c r="F38" s="38">
        <f>IF(_xlfn.XLOOKUP(A38,OptionsTable[Name],OptionsTable[xS],,,)=FALSE,1,IF($B$4&gt;0,$E$4,1))</f>
        <v>1</v>
      </c>
      <c r="G38" s="58"/>
      <c r="H38" s="199" t="str">
        <f>IF(_xlfn.XLOOKUP(A38,OptionsTable[Name],OptionsTable[Notes],,,)="","",_xlfn.XLOOKUP(A38,OptionsTable[Name],OptionsTable[Notes],,,))</f>
        <v>0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1000</v>
      </c>
      <c r="R38" s="235"/>
      <c r="S38" s="236"/>
      <c r="T38" s="236"/>
      <c r="U38" s="236"/>
      <c r="V38" s="236"/>
      <c r="W38" s="236"/>
      <c r="X38" s="236"/>
      <c r="Y38" s="236"/>
      <c r="Z38" s="237"/>
    </row>
    <row r="39" spans="1:26" ht="12" customHeight="1" x14ac:dyDescent="0.35">
      <c r="A39" s="197" t="s">
        <v>190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-11</v>
      </c>
      <c r="F39" s="38">
        <f>IF(_xlfn.XLOOKUP(A39,OptionsTable[Name],OptionsTable[xS],,,)=FALSE,1,IF($B$4&gt;0,$E$4,1))</f>
        <v>1</v>
      </c>
      <c r="G39" s="58">
        <v>11</v>
      </c>
      <c r="H39" s="199" t="str">
        <f>IF(_xlfn.XLOOKUP(A39,OptionsTable[Name],OptionsTable[Notes],,,)="","",_xlfn.XLOOKUP(A39,OptionsTable[Name],OptionsTable[Notes],,,))</f>
        <v>2 kg or litres / slot</v>
      </c>
      <c r="I39" s="200"/>
      <c r="J39" s="200"/>
      <c r="K39" s="44">
        <f>_xlfn.XLOOKUP(A39,OptionsTable[Name],OptionsTable[TL],,,)</f>
        <v>6</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1100</v>
      </c>
      <c r="R39" s="235"/>
      <c r="S39" s="236"/>
      <c r="T39" s="236"/>
      <c r="U39" s="236"/>
      <c r="V39" s="236"/>
      <c r="W39" s="236"/>
      <c r="X39" s="236"/>
      <c r="Y39" s="236"/>
      <c r="Z39" s="237"/>
    </row>
    <row r="40" spans="1:26" ht="12" customHeight="1" x14ac:dyDescent="0.35">
      <c r="A40" s="197" t="s">
        <v>100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0</v>
      </c>
      <c r="F40" s="38">
        <f>IF(_xlfn.XLOOKUP(A40,OptionsTable[Name],OptionsTable[xS],,,)=FALSE,1,IF($B$4&gt;0,$E$4,1))</f>
        <v>128</v>
      </c>
      <c r="G40" s="58"/>
      <c r="H40" s="199" t="str">
        <f>IF(_xlfn.XLOOKUP(A40,OptionsTable[Name],OptionsTable[Notes],,,)="","",_xlfn.XLOOKUP(A40,OptionsTable[Name],OptionsTable[Notes],,,))</f>
        <v>+ Hostile env</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76800</v>
      </c>
      <c r="R40" s="235"/>
      <c r="S40" s="236"/>
      <c r="T40" s="236"/>
      <c r="U40" s="236"/>
      <c r="V40" s="236"/>
      <c r="W40" s="236"/>
      <c r="X40" s="236"/>
      <c r="Y40" s="236"/>
      <c r="Z40" s="237"/>
    </row>
    <row r="41" spans="1:26" ht="12" customHeight="1" x14ac:dyDescent="0.35">
      <c r="A41" s="197"/>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v>
      </c>
      <c r="G41" s="58"/>
      <c r="H41" s="199" t="str">
        <f>IF(_xlfn.XLOOKUP(A41,OptionsTable[Name],OptionsTable[Notes],,,)="","",_xlfn.XLOOKUP(A41,OptionsTable[Name],OptionsTable[Notes],,,))</f>
        <v/>
      </c>
      <c r="I41" s="200"/>
      <c r="J41" s="200"/>
      <c r="K41" s="44">
        <f>_xlfn.XLOOKUP(A41,OptionsTable[Name],OptionsTable[TL],,,)</f>
        <v>0</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0</v>
      </c>
      <c r="R41" s="235"/>
      <c r="S41" s="236"/>
      <c r="T41" s="236"/>
      <c r="U41" s="236"/>
      <c r="V41" s="236"/>
      <c r="W41" s="236"/>
      <c r="X41" s="236"/>
      <c r="Y41" s="236"/>
      <c r="Z41" s="237"/>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235"/>
      <c r="S42" s="236"/>
      <c r="T42" s="236"/>
      <c r="U42" s="236"/>
      <c r="V42" s="236"/>
      <c r="W42" s="236"/>
      <c r="X42" s="236"/>
      <c r="Y42" s="236"/>
      <c r="Z42" s="237"/>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235"/>
      <c r="S43" s="236"/>
      <c r="T43" s="236"/>
      <c r="U43" s="236"/>
      <c r="V43" s="236"/>
      <c r="W43" s="236"/>
      <c r="X43" s="236"/>
      <c r="Y43" s="236"/>
      <c r="Z43" s="237"/>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235"/>
      <c r="S44" s="236"/>
      <c r="T44" s="236"/>
      <c r="U44" s="236"/>
      <c r="V44" s="236"/>
      <c r="W44" s="236"/>
      <c r="X44" s="236"/>
      <c r="Y44" s="236"/>
      <c r="Z44" s="237"/>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235"/>
      <c r="S45" s="236"/>
      <c r="T45" s="236"/>
      <c r="U45" s="236"/>
      <c r="V45" s="236"/>
      <c r="W45" s="236"/>
      <c r="X45" s="236"/>
      <c r="Y45" s="236"/>
      <c r="Z45" s="237"/>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235"/>
      <c r="S46" s="236"/>
      <c r="T46" s="236"/>
      <c r="U46" s="236"/>
      <c r="V46" s="236"/>
      <c r="W46" s="236"/>
      <c r="X46" s="236"/>
      <c r="Y46" s="236"/>
      <c r="Z46" s="237"/>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235"/>
      <c r="S47" s="236"/>
      <c r="T47" s="236"/>
      <c r="U47" s="236"/>
      <c r="V47" s="236"/>
      <c r="W47" s="236"/>
      <c r="X47" s="236"/>
      <c r="Y47" s="236"/>
      <c r="Z47" s="237"/>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235"/>
      <c r="S48" s="236"/>
      <c r="T48" s="236"/>
      <c r="U48" s="236"/>
      <c r="V48" s="236"/>
      <c r="W48" s="236"/>
      <c r="X48" s="236"/>
      <c r="Y48" s="236"/>
      <c r="Z48" s="237"/>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235"/>
      <c r="S49" s="236"/>
      <c r="T49" s="236"/>
      <c r="U49" s="236"/>
      <c r="V49" s="236"/>
      <c r="W49" s="236"/>
      <c r="X49" s="236"/>
      <c r="Y49" s="236"/>
      <c r="Z49" s="237"/>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235"/>
      <c r="S50" s="236"/>
      <c r="T50" s="236"/>
      <c r="U50" s="236"/>
      <c r="V50" s="236"/>
      <c r="W50" s="236"/>
      <c r="X50" s="236"/>
      <c r="Y50" s="236"/>
      <c r="Z50" s="237"/>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235"/>
      <c r="S51" s="236"/>
      <c r="T51" s="236"/>
      <c r="U51" s="236"/>
      <c r="V51" s="236"/>
      <c r="W51" s="236"/>
      <c r="X51" s="236"/>
      <c r="Y51" s="236"/>
      <c r="Z51" s="237"/>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235"/>
      <c r="S52" s="236"/>
      <c r="T52" s="236"/>
      <c r="U52" s="236"/>
      <c r="V52" s="236"/>
      <c r="W52" s="236"/>
      <c r="X52" s="236"/>
      <c r="Y52" s="236"/>
      <c r="Z52" s="237"/>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235"/>
      <c r="S53" s="236"/>
      <c r="T53" s="236"/>
      <c r="U53" s="236"/>
      <c r="V53" s="236"/>
      <c r="W53" s="236"/>
      <c r="X53" s="236"/>
      <c r="Y53" s="236"/>
      <c r="Z53" s="237"/>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235"/>
      <c r="S54" s="236"/>
      <c r="T54" s="236"/>
      <c r="U54" s="236"/>
      <c r="V54" s="236"/>
      <c r="W54" s="236"/>
      <c r="X54" s="236"/>
      <c r="Y54" s="236"/>
      <c r="Z54" s="237"/>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235"/>
      <c r="S55" s="236"/>
      <c r="T55" s="236"/>
      <c r="U55" s="236"/>
      <c r="V55" s="236"/>
      <c r="W55" s="236"/>
      <c r="X55" s="236"/>
      <c r="Y55" s="236"/>
      <c r="Z55" s="237"/>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235"/>
      <c r="S56" s="236"/>
      <c r="T56" s="236"/>
      <c r="U56" s="236"/>
      <c r="V56" s="236"/>
      <c r="W56" s="236"/>
      <c r="X56" s="236"/>
      <c r="Y56" s="236"/>
      <c r="Z56" s="237"/>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235"/>
      <c r="S57" s="236"/>
      <c r="T57" s="236"/>
      <c r="U57" s="236"/>
      <c r="V57" s="236"/>
      <c r="W57" s="236"/>
      <c r="X57" s="236"/>
      <c r="Y57" s="236"/>
      <c r="Z57" s="237"/>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235"/>
      <c r="S58" s="236"/>
      <c r="T58" s="236"/>
      <c r="U58" s="236"/>
      <c r="V58" s="236"/>
      <c r="W58" s="236"/>
      <c r="X58" s="236"/>
      <c r="Y58" s="236"/>
      <c r="Z58" s="237"/>
    </row>
    <row r="59" spans="1:26" ht="12" customHeight="1" x14ac:dyDescent="0.35">
      <c r="A59" s="226" t="s">
        <v>359</v>
      </c>
      <c r="B59" s="227"/>
      <c r="C59" s="227"/>
      <c r="D59" s="227"/>
      <c r="E59" s="40"/>
      <c r="F59" s="38"/>
      <c r="G59" s="108"/>
      <c r="H59" s="228"/>
      <c r="I59" s="229"/>
      <c r="J59" s="51"/>
      <c r="K59" s="50"/>
      <c r="L59" s="51"/>
      <c r="M59" s="51"/>
      <c r="N59" s="51"/>
      <c r="P59" s="141"/>
      <c r="R59" s="235"/>
      <c r="S59" s="236"/>
      <c r="T59" s="236"/>
      <c r="U59" s="236"/>
      <c r="V59" s="236"/>
      <c r="W59" s="236"/>
      <c r="X59" s="236"/>
      <c r="Y59" s="236"/>
      <c r="Z59" s="237"/>
    </row>
    <row r="60" spans="1:26" ht="12" customHeight="1" x14ac:dyDescent="0.35">
      <c r="A60" s="197"/>
      <c r="B60" s="198"/>
      <c r="C60" s="198"/>
      <c r="D60" s="198"/>
      <c r="E60" s="40"/>
      <c r="F60" s="38"/>
      <c r="G60" s="58"/>
      <c r="H60" s="199"/>
      <c r="I60" s="219"/>
      <c r="J60" s="23"/>
      <c r="K60" s="45"/>
      <c r="L60" s="23"/>
      <c r="M60" s="23"/>
      <c r="N60" s="23"/>
      <c r="P60" s="142"/>
      <c r="R60" s="235"/>
      <c r="S60" s="236"/>
      <c r="T60" s="236"/>
      <c r="U60" s="236"/>
      <c r="V60" s="236"/>
      <c r="W60" s="236"/>
      <c r="X60" s="236"/>
      <c r="Y60" s="236"/>
      <c r="Z60" s="237"/>
    </row>
    <row r="61" spans="1:26" ht="12" customHeight="1" x14ac:dyDescent="0.35">
      <c r="A61" s="197"/>
      <c r="B61" s="198"/>
      <c r="C61" s="198"/>
      <c r="D61" s="198"/>
      <c r="E61" s="40"/>
      <c r="F61" s="38"/>
      <c r="G61" s="58"/>
      <c r="H61" s="199"/>
      <c r="I61" s="219"/>
      <c r="J61" s="23"/>
      <c r="K61" s="45"/>
      <c r="L61" s="23"/>
      <c r="M61" s="23"/>
      <c r="N61" s="23"/>
      <c r="P61" s="142"/>
      <c r="R61" s="235"/>
      <c r="S61" s="236"/>
      <c r="T61" s="236"/>
      <c r="U61" s="236"/>
      <c r="V61" s="236"/>
      <c r="W61" s="236"/>
      <c r="X61" s="236"/>
      <c r="Y61" s="236"/>
      <c r="Z61" s="237"/>
    </row>
    <row r="62" spans="1:26" ht="12" customHeight="1" thickBot="1" x14ac:dyDescent="0.4">
      <c r="E62" s="40"/>
      <c r="F62" s="38"/>
      <c r="K62" s="40"/>
      <c r="R62" s="235"/>
      <c r="S62" s="236"/>
      <c r="T62" s="236"/>
      <c r="U62" s="236"/>
      <c r="V62" s="236"/>
      <c r="W62" s="236"/>
      <c r="X62" s="236"/>
      <c r="Y62" s="236"/>
      <c r="Z62" s="237"/>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235"/>
      <c r="S63" s="236"/>
      <c r="T63" s="236"/>
      <c r="U63" s="236"/>
      <c r="V63" s="236"/>
      <c r="W63" s="236"/>
      <c r="X63" s="236"/>
      <c r="Y63" s="236"/>
      <c r="Z63" s="237"/>
    </row>
    <row r="64" spans="1:26" ht="12" customHeight="1" x14ac:dyDescent="0.35">
      <c r="A64" s="93" t="s">
        <v>309</v>
      </c>
      <c r="B64" s="226" t="s">
        <v>76</v>
      </c>
      <c r="C64" s="227"/>
      <c r="D64" s="227"/>
      <c r="E64" s="40">
        <f>IF(L64+K64-O2&gt;B4,-1,0)</f>
        <v>0</v>
      </c>
      <c r="F64" s="38"/>
      <c r="H64" s="1">
        <f>_xlfn.XLOOKUP(B64,Brains[Programming/Control],Brains[Base INT],,,)</f>
        <v>4</v>
      </c>
      <c r="I64" s="31">
        <f>IF(H64&gt;17,4,IF(H64&gt;14,3,IF(H64&gt;11,2,IF(H64&gt;8,1,IF(H64&gt;5,0,IF(H64&gt;2,-1,-2))))))</f>
        <v>-1</v>
      </c>
      <c r="J64" s="1">
        <f>_xlfn.XLOOKUP(B64,Brains[Programming/Control],Brains[Computer/X],,,)</f>
        <v>1</v>
      </c>
      <c r="K64" s="44">
        <f>_xlfn.XLOOKUP(B64,Brains[Programming/Control],Brains[TL],,,)</f>
        <v>10</v>
      </c>
      <c r="L64">
        <f>_xlfn.XLOOKUP(B64,Brains[Programming/Control],Brains[Computer/X],,,)</f>
        <v>1</v>
      </c>
      <c r="M64" s="12" t="str">
        <f>_xlfn.XLOOKUP(B64,Brains[Programming/Control],Brains[Base capability (built-in no bandwidth, cumulative)],,,)</f>
        <v>Limited language, Security/0</v>
      </c>
      <c r="N64" s="12"/>
      <c r="O64" s="12" t="str">
        <f>IF(_xlfn.XLOOKUP(B64,Brains[Programming/Control],Brains[Skill],,,)="","",_xlfn.XLOOKUP(B64,Brains[Programming/Control],Brains[Skill],,,))</f>
        <v/>
      </c>
      <c r="P64" s="137">
        <f>_xlfn.XLOOKUP(B64,Brains[Programming/Control],Brains[Cost],,,)*IF(L64&gt;2,2/(2)^(1+O2-K64),1)</f>
        <v>4000</v>
      </c>
      <c r="R64" s="235"/>
      <c r="S64" s="236"/>
      <c r="T64" s="236"/>
      <c r="U64" s="236"/>
      <c r="V64" s="236"/>
      <c r="W64" s="236"/>
      <c r="X64" s="236"/>
      <c r="Y64" s="236"/>
      <c r="Z64" s="237"/>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1</v>
      </c>
      <c r="M65" t="s">
        <v>310</v>
      </c>
      <c r="P65" s="137">
        <f>_xlfn.XLOOKUP(B65,Bandwidth[Minimum Base Brain],Bandwidth[Cost],,,)</f>
        <v>0</v>
      </c>
      <c r="R65" s="235"/>
      <c r="S65" s="236"/>
      <c r="T65" s="236"/>
      <c r="U65" s="236"/>
      <c r="V65" s="236"/>
      <c r="W65" s="236"/>
      <c r="X65" s="236"/>
      <c r="Y65" s="236"/>
      <c r="Z65" s="237"/>
    </row>
    <row r="66" spans="1:26" ht="12" customHeight="1" x14ac:dyDescent="0.35">
      <c r="A66" s="93" t="s">
        <v>708</v>
      </c>
      <c r="B66" s="29">
        <v>0</v>
      </c>
      <c r="E66" s="40"/>
      <c r="F66" s="38" cm="1">
        <f t="array" ref="F66">_xlfn.IFS(B66=0,0,B66=1,-1,B66=2,-3,B66=3,-6)</f>
        <v>0</v>
      </c>
      <c r="H66" s="6">
        <f>H64+B66</f>
        <v>4</v>
      </c>
      <c r="I66" s="15">
        <f>IF(H66&gt;17,4,IF(H66&gt;14,3,IF(H66&gt;11,2,IF(H66&gt;8,1,IF(H66&gt;5,0,IF(H66&gt;2,-1,-2))))))</f>
        <v>-1</v>
      </c>
      <c r="K66" s="44"/>
      <c r="L66" s="56">
        <f>L65+F66</f>
        <v>1</v>
      </c>
      <c r="M66" t="s">
        <v>310</v>
      </c>
      <c r="P66" s="137" cm="1">
        <f t="array" ref="P66">_xlfn.IFS(B66=0,0,B66=1,(H64+1)*1000,B66=2,(H64+1)*(H64+2)*1000,B66=3,(H64+1)*(H64+2)*(H64+3)*1000)*IF(H66&gt;11,2,1)</f>
        <v>0</v>
      </c>
      <c r="R66" s="235"/>
      <c r="S66" s="236"/>
      <c r="T66" s="236"/>
      <c r="U66" s="236"/>
      <c r="V66" s="236"/>
      <c r="W66" s="236"/>
      <c r="X66" s="236"/>
      <c r="Y66" s="236"/>
      <c r="Z66" s="237"/>
    </row>
    <row r="67" spans="1:26" ht="12" customHeight="1" thickBot="1" x14ac:dyDescent="0.4">
      <c r="A67" s="93" t="s">
        <v>308</v>
      </c>
      <c r="B67" s="28" t="b">
        <v>0</v>
      </c>
      <c r="C67" s="24"/>
      <c r="D67" s="24"/>
      <c r="E67" s="41"/>
      <c r="F67" s="39"/>
      <c r="G67" s="24"/>
      <c r="H67" s="47"/>
      <c r="I67" s="24"/>
      <c r="J67" s="105">
        <f>J64-COUNTIF(G73:G90,0)</f>
        <v>1</v>
      </c>
      <c r="K67" s="43"/>
      <c r="L67" s="57">
        <f>L66-SUM(G69:G90)</f>
        <v>0</v>
      </c>
      <c r="M67" s="24" t="s">
        <v>312</v>
      </c>
      <c r="N67" s="25" t="str">
        <f>IF(B67,"Hardened, ","")</f>
        <v/>
      </c>
      <c r="O67" s="24"/>
      <c r="P67" s="136">
        <f>B67*(P65+P64)*0.5</f>
        <v>0</v>
      </c>
      <c r="R67" s="235"/>
      <c r="S67" s="236"/>
      <c r="T67" s="236"/>
      <c r="U67" s="236"/>
      <c r="V67" s="236"/>
      <c r="W67" s="236"/>
      <c r="X67" s="236"/>
      <c r="Y67" s="236"/>
      <c r="Z67" s="237"/>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235"/>
      <c r="S68" s="236"/>
      <c r="T68" s="236"/>
      <c r="U68" s="236"/>
      <c r="V68" s="236"/>
      <c r="W68" s="236"/>
      <c r="X68" s="236"/>
      <c r="Y68" s="236"/>
      <c r="Z68" s="237"/>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235"/>
      <c r="S69" s="236"/>
      <c r="T69" s="236"/>
      <c r="U69" s="236"/>
      <c r="V69" s="236"/>
      <c r="W69" s="236"/>
      <c r="X69" s="236"/>
      <c r="Y69" s="236"/>
      <c r="Z69" s="237"/>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235"/>
      <c r="S70" s="236"/>
      <c r="T70" s="236"/>
      <c r="U70" s="236"/>
      <c r="V70" s="236"/>
      <c r="W70" s="236"/>
      <c r="X70" s="236"/>
      <c r="Y70" s="236"/>
      <c r="Z70" s="237"/>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235"/>
      <c r="S71" s="236"/>
      <c r="T71" s="236"/>
      <c r="U71" s="236"/>
      <c r="V71" s="236"/>
      <c r="W71" s="236"/>
      <c r="X71" s="236"/>
      <c r="Y71" s="236"/>
      <c r="Z71" s="237"/>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235"/>
      <c r="S72" s="236"/>
      <c r="T72" s="236"/>
      <c r="U72" s="236"/>
      <c r="V72" s="236"/>
      <c r="W72" s="236"/>
      <c r="X72" s="236"/>
      <c r="Y72" s="236"/>
      <c r="Z72" s="237"/>
    </row>
    <row r="73" spans="1:26" ht="12" customHeight="1" x14ac:dyDescent="0.35">
      <c r="A73" s="48" t="s">
        <v>131</v>
      </c>
      <c r="B73" s="228"/>
      <c r="C73" s="229"/>
      <c r="D73" s="58">
        <v>1</v>
      </c>
      <c r="E73" s="40"/>
      <c r="G73" s="59">
        <f>IF(A73="N/A","",D73+_xlfn.XLOOKUP(A73,StandardBrain[Name],StandardBrain[Bandwidth],,,))</f>
        <v>1</v>
      </c>
      <c r="I73" s="59" t="str">
        <f>_xlfn.XLOOKUP(A73,StandardBrain[Name],StandardBrain[Characteristic],,,)</f>
        <v>INT</v>
      </c>
      <c r="K73" s="44">
        <f>_xlfn.XLOOKUP(A73,StandardBrain[Name],StandardBrain[TL],,,)+D73</f>
        <v>10</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0, </v>
      </c>
      <c r="P73" s="137">
        <f>_xlfn.XLOOKUP(A73,StandardBrain[Name],StandardBrain[Cr],,,)*10^(D73)</f>
        <v>2000</v>
      </c>
      <c r="R73" s="235"/>
      <c r="S73" s="236"/>
      <c r="T73" s="236"/>
      <c r="U73" s="236"/>
      <c r="V73" s="236"/>
      <c r="W73" s="236"/>
      <c r="X73" s="236"/>
      <c r="Y73" s="236"/>
      <c r="Z73" s="237"/>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235"/>
      <c r="S74" s="236"/>
      <c r="T74" s="236"/>
      <c r="U74" s="236"/>
      <c r="V74" s="236"/>
      <c r="W74" s="236"/>
      <c r="X74" s="236"/>
      <c r="Y74" s="236"/>
      <c r="Z74" s="237"/>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238"/>
      <c r="S75" s="239"/>
      <c r="T75" s="239"/>
      <c r="U75" s="239"/>
      <c r="V75" s="239"/>
      <c r="W75" s="239"/>
      <c r="X75" s="239"/>
      <c r="Y75" s="239"/>
      <c r="Z75" s="240"/>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148800</v>
      </c>
    </row>
    <row r="92" spans="1:16" ht="12" customHeight="1" thickBot="1" x14ac:dyDescent="0.45">
      <c r="B92" s="111"/>
      <c r="O92" s="149" t="str">
        <f>CONCATENATE("Cost With "&amp;X6*100 &amp; "% Discount")</f>
        <v>Cost With 10% Discount</v>
      </c>
      <c r="P92" s="147">
        <f>P2</f>
        <v>133900</v>
      </c>
    </row>
    <row r="93" spans="1:16" ht="12" customHeight="1" x14ac:dyDescent="0.35">
      <c r="A93" s="110"/>
      <c r="B93" s="112"/>
    </row>
  </sheetData>
  <sortState xmlns:xlrd2="http://schemas.microsoft.com/office/spreadsheetml/2017/richdata2" ref="A36:D41">
    <sortCondition ref="A36:A41"/>
  </sortState>
  <dataConsolidate/>
  <mergeCells count="113">
    <mergeCell ref="B74:C74"/>
    <mergeCell ref="B75:C75"/>
    <mergeCell ref="B76:C76"/>
    <mergeCell ref="B77:C77"/>
    <mergeCell ref="B78:C78"/>
    <mergeCell ref="B79:C79"/>
    <mergeCell ref="B64:D64"/>
    <mergeCell ref="B65:D65"/>
    <mergeCell ref="B69:D69"/>
    <mergeCell ref="B70:D70"/>
    <mergeCell ref="B71:D71"/>
    <mergeCell ref="B73:C73"/>
    <mergeCell ref="B86:C86"/>
    <mergeCell ref="B87:C87"/>
    <mergeCell ref="B88:C88"/>
    <mergeCell ref="B89:C89"/>
    <mergeCell ref="B90:C90"/>
    <mergeCell ref="B80:C80"/>
    <mergeCell ref="B81:C81"/>
    <mergeCell ref="B82:C82"/>
    <mergeCell ref="B83:C83"/>
    <mergeCell ref="B84:C84"/>
    <mergeCell ref="B85:C85"/>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H46:J46"/>
    <mergeCell ref="A47:D47"/>
    <mergeCell ref="H47:J47"/>
    <mergeCell ref="A48:D48"/>
    <mergeCell ref="H48:J48"/>
    <mergeCell ref="A43:D43"/>
    <mergeCell ref="H43:J43"/>
    <mergeCell ref="A44:D44"/>
    <mergeCell ref="H44:J44"/>
    <mergeCell ref="A45:D45"/>
    <mergeCell ref="H45:J45"/>
    <mergeCell ref="R20:Z75"/>
    <mergeCell ref="G11:H11"/>
    <mergeCell ref="K11:L11"/>
    <mergeCell ref="S11:Z11"/>
    <mergeCell ref="G12:O12"/>
    <mergeCell ref="S12:Z12"/>
    <mergeCell ref="R13:R17"/>
    <mergeCell ref="S13:Z17"/>
    <mergeCell ref="A39:D39"/>
    <mergeCell ref="H39:J39"/>
    <mergeCell ref="A40:D40"/>
    <mergeCell ref="H40:J40"/>
    <mergeCell ref="H41:J41"/>
    <mergeCell ref="H42:J42"/>
    <mergeCell ref="H35:J35"/>
    <mergeCell ref="A36:D36"/>
    <mergeCell ref="H36:J36"/>
    <mergeCell ref="A37:D37"/>
    <mergeCell ref="H37:J37"/>
    <mergeCell ref="A38:D38"/>
    <mergeCell ref="H38:J38"/>
    <mergeCell ref="A41:D41"/>
    <mergeCell ref="A42:D42"/>
    <mergeCell ref="A46:D46"/>
    <mergeCell ref="A32:D32"/>
    <mergeCell ref="H32:J32"/>
    <mergeCell ref="A33:D33"/>
    <mergeCell ref="H33:J33"/>
    <mergeCell ref="A34:D34"/>
    <mergeCell ref="H34:J34"/>
    <mergeCell ref="B29:D29"/>
    <mergeCell ref="H29:J29"/>
    <mergeCell ref="A30:D30"/>
    <mergeCell ref="H30:J30"/>
    <mergeCell ref="A31:D31"/>
    <mergeCell ref="H31:J31"/>
    <mergeCell ref="B2:D2"/>
    <mergeCell ref="F2:H2"/>
    <mergeCell ref="I2:M2"/>
    <mergeCell ref="G3:J3"/>
    <mergeCell ref="G4:I4"/>
    <mergeCell ref="K4:L4"/>
    <mergeCell ref="G10:H10"/>
    <mergeCell ref="K10:M10"/>
    <mergeCell ref="S10:Z10"/>
    <mergeCell ref="G9:I9"/>
    <mergeCell ref="K9:M9"/>
    <mergeCell ref="S9:Z9"/>
    <mergeCell ref="G5:I5"/>
    <mergeCell ref="H6:N6"/>
    <mergeCell ref="G7:I7"/>
    <mergeCell ref="S7:Z7"/>
    <mergeCell ref="G8:I8"/>
    <mergeCell ref="K8:M8"/>
    <mergeCell ref="S8:Z8"/>
  </mergeCells>
  <conditionalFormatting sqref="B14">
    <cfRule type="expression" dxfId="59" priority="6">
      <formula>ABS($J$14-6) &gt; 6</formula>
    </cfRule>
  </conditionalFormatting>
  <conditionalFormatting sqref="E2">
    <cfRule type="expression" dxfId="58" priority="4">
      <formula>$E$2&lt;0</formula>
    </cfRule>
  </conditionalFormatting>
  <conditionalFormatting sqref="E15:E17">
    <cfRule type="expression" dxfId="57" priority="1">
      <formula>AND($B$4=0,E15&lt;0)</formula>
    </cfRule>
  </conditionalFormatting>
  <conditionalFormatting sqref="K5 K30:K34 K36:K57 K59:K61 K64:K67 K73:K90">
    <cfRule type="expression" dxfId="56" priority="5">
      <formula>K5&gt;$O$2</formula>
    </cfRule>
  </conditionalFormatting>
  <conditionalFormatting sqref="L57">
    <cfRule type="expression" dxfId="55" priority="2">
      <formula>L57&gt;$O$2</formula>
    </cfRule>
  </conditionalFormatting>
  <conditionalFormatting sqref="L67">
    <cfRule type="expression" dxfId="54" priority="3">
      <formula>L67&lt;0</formula>
    </cfRule>
  </conditionalFormatting>
  <dataValidations count="20">
    <dataValidation type="whole" allowBlank="1" showInputMessage="1" showErrorMessage="1" error="Total Armour cannot exceed Maximum" sqref="B7" xr:uid="{7BEA5CC2-A0C7-4D87-AFFC-E8651A2F2610}">
      <formula1>-1</formula1>
      <formula2>L7-MID(A7,18,1)</formula2>
    </dataValidation>
    <dataValidation type="whole" allowBlank="1" showInputMessage="1" showErrorMessage="1" error="Max DEX = TL+3" sqref="K19:K28" xr:uid="{425379F6-99F0-4E80-ACC1-481CF2C50556}">
      <formula1>0</formula1>
      <formula2>J19-D19</formula2>
    </dataValidation>
    <dataValidation type="whole" allowBlank="1" showInputMessage="1" showErrorMessage="1" error="Max STR = Lesser of Size + TL or SIZE X 4" sqref="G19:G28" xr:uid="{091C2E6F-5014-4D4C-8E64-E18F46559865}">
      <formula1>0</formula1>
      <formula2>F19-C19</formula2>
    </dataValidation>
    <dataValidation type="whole" allowBlank="1" showInputMessage="1" showErrorMessage="1" sqref="E13:E14" xr:uid="{904C683F-52FD-46DC-9392-EE6EE5772D82}">
      <formula1>0</formula1>
      <formula2>#REF!/2</formula2>
    </dataValidation>
    <dataValidation type="whole" allowBlank="1" showInputMessage="1" showErrorMessage="1" sqref="C14:D14" xr:uid="{916ED92E-6319-4364-B0F1-FDF6D29049E5}">
      <formula1>0</formula1>
      <formula2>D15/2</formula2>
    </dataValidation>
    <dataValidation type="whole" allowBlank="1" showInputMessage="1" showErrorMessage="1" sqref="C13:D13" xr:uid="{CEBB244F-7F7D-4DE7-A5FF-57523BC8A5CE}">
      <formula1>0</formula1>
      <formula2>D5/2</formula2>
    </dataValidation>
    <dataValidation type="whole" allowBlank="1" showInputMessage="1" showErrorMessage="1" sqref="C11:D11" xr:uid="{497E8504-BF2B-4E63-883B-BA20958892AE}">
      <formula1>0</formula1>
      <formula2>D4/2</formula2>
    </dataValidation>
    <dataValidation type="whole" allowBlank="1" showInputMessage="1" showErrorMessage="1" error="Must be whole number between -6 and +12" sqref="B14" xr:uid="{86197214-77E7-4133-9D63-F084CEBD4E59}">
      <formula1>-6</formula1>
      <formula2>12</formula2>
    </dataValidation>
    <dataValidation type="list" allowBlank="1" showInputMessage="1" showErrorMessage="1" sqref="B16" xr:uid="{D63C2EC7-830C-4D3F-8123-6C40E03A9EA1}">
      <formula1>"No,1X,2X,3X"</formula1>
    </dataValidation>
    <dataValidation type="list" allowBlank="1" showInputMessage="1" showErrorMessage="1" sqref="B15" xr:uid="{60AD9EF3-C8EB-4224-9827-97CB95BEB447}">
      <formula1>"FALSE,TRUE"</formula1>
    </dataValidation>
    <dataValidation type="list" allowBlank="1" showInputMessage="1" showErrorMessage="1" sqref="D73:D90 B66" xr:uid="{41DF8146-D7A8-4903-A233-015333FC483B}">
      <formula1>"0,1,2,3"</formula1>
    </dataValidation>
    <dataValidation type="list" allowBlank="1" showInputMessage="1" showErrorMessage="1" sqref="B13" xr:uid="{F8F75B87-9482-42B7-8C20-52DBB68C38A4}">
      <formula1>"0,1,2,3,4"</formula1>
    </dataValidation>
    <dataValidation type="list" allowBlank="1" showInputMessage="1" showErrorMessage="1" sqref="B27:B28 B67 B8" xr:uid="{5086C933-E49A-4F22-A8B6-1712BBD62B4D}">
      <formula1>"TRUE,FALSE"</formula1>
    </dataValidation>
    <dataValidation type="whole" allowBlank="1" showInputMessage="1" showErrorMessage="1" error="Max Manipulator Size = Chassis Size +2_x000a_Min Manipulator Size = 0_x000a_Whole Numbers Only" sqref="B19:B26" xr:uid="{9A0EA723-914D-4DB4-8AB3-36156E43A272}">
      <formula1>0</formula1>
      <formula2>$B$4+2</formula2>
    </dataValidation>
    <dataValidation type="list" allowBlank="1" showInputMessage="1" showErrorMessage="1" sqref="O2" xr:uid="{DAC9A4A0-A025-4310-9A42-37588ADE1C29}">
      <formula1>"7,8,9,10,11,12,13,14,15,16,17,18"</formula1>
    </dataValidation>
    <dataValidation type="list" allowBlank="1" showInputMessage="1" showErrorMessage="1" sqref="B4" xr:uid="{EE9E577C-8E71-4A96-AF4D-99AEAF9A9317}">
      <formula1>"0,1,2,3,4,5,6,7,8"</formula1>
    </dataValidation>
    <dataValidation type="list" allowBlank="1" showInputMessage="1" showErrorMessage="1" error="Maximum = 3" sqref="B9" xr:uid="{A743BF1B-FFE5-4C46-9611-40134B0F3249}">
      <formula1>"0,1,2,3"</formula1>
    </dataValidation>
    <dataValidation type="whole" allowBlank="1" showInputMessage="1" showErrorMessage="1" sqref="E11" xr:uid="{9A826A8B-978C-4FE1-9A6E-30D5465E4893}">
      <formula1>0</formula1>
      <formula2>J4/2</formula2>
    </dataValidation>
    <dataValidation type="whole" allowBlank="1" showInputMessage="1" showErrorMessage="1" error="Must be whole number. No more than 50% of slots may be used for Resiliency" sqref="B10" xr:uid="{E21339D3-4BF4-400F-8C76-16AB888AD701}">
      <formula1>0</formula1>
      <formula2>E4/2</formula2>
    </dataValidation>
    <dataValidation type="whole" allowBlank="1" showInputMessage="1" showErrorMessage="1" error="Must be a negative number no less than a 50% of the base hits" sqref="B11" xr:uid="{09E6D2C6-30CD-4F18-A3E8-90D2ECF4B238}">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4887279-2632-4B6B-931D-93DB16F34650}">
          <x14:formula1>
            <xm:f>Options!$C$9:$C$256</xm:f>
          </x14:formula1>
          <xm:sqref>A36:A56</xm:sqref>
        </x14:dataValidation>
        <x14:dataValidation type="list" allowBlank="1" showInputMessage="1" showErrorMessage="1" xr:uid="{8A7FDBA0-BBD9-4A17-8B5F-2ECDBDCDC1F4}">
          <x14:formula1>
            <xm:f>Brains!$K$3:$K$16</xm:f>
          </x14:formula1>
          <xm:sqref>B65</xm:sqref>
        </x14:dataValidation>
        <x14:dataValidation type="list" allowBlank="1" showInputMessage="1" showErrorMessage="1" xr:uid="{9143A2B2-1E9B-4E7C-8AA4-9BCF1E7F2417}">
          <x14:formula1>
            <xm:f>Packages!$B$23:$B$25</xm:f>
          </x14:formula1>
          <xm:sqref>B71</xm:sqref>
        </x14:dataValidation>
        <x14:dataValidation type="list" allowBlank="1" showInputMessage="1" showErrorMessage="1" xr:uid="{3E5AA4CC-6867-442C-AA91-7E8A47BC6E90}">
          <x14:formula1>
            <xm:f>Packages!$B$3:$B$7</xm:f>
          </x14:formula1>
          <xm:sqref>B69</xm:sqref>
        </x14:dataValidation>
        <x14:dataValidation type="list" allowBlank="1" showInputMessage="1" showErrorMessage="1" xr:uid="{6030AB34-25CC-462A-AAE6-687C80AD625B}">
          <x14:formula1>
            <xm:f>Brains!$B$3:$B$19</xm:f>
          </x14:formula1>
          <xm:sqref>B64</xm:sqref>
        </x14:dataValidation>
        <x14:dataValidation type="list" allowBlank="1" showInputMessage="1" showErrorMessage="1" xr:uid="{6DC76D6E-EFC5-4F35-9258-FF08B5084C3F}">
          <x14:formula1>
            <xm:f>Packages!$B$11:$B$19</xm:f>
          </x14:formula1>
          <xm:sqref>B70</xm:sqref>
        </x14:dataValidation>
        <x14:dataValidation type="list" allowBlank="1" showInputMessage="1" showErrorMessage="1" xr:uid="{4A45E8B7-6334-44EC-891C-F11EBAC7F129}">
          <x14:formula1>
            <xm:f>Chassis!$H$3:$H$13</xm:f>
          </x14:formula1>
          <xm:sqref>B17 B5</xm:sqref>
        </x14:dataValidation>
        <x14:dataValidation type="list" allowBlank="1" showInputMessage="1" showErrorMessage="1" xr:uid="{651F5F7F-6B42-4A26-8229-38CC040FDD60}">
          <x14:formula1>
            <xm:f>Packages!$B$29:$B$82</xm:f>
          </x14:formula1>
          <xm:sqref>A73:A90</xm:sqref>
        </x14:dataValidation>
        <x14:dataValidation type="list" allowBlank="1" showInputMessage="1" showErrorMessage="1" xr:uid="{C6A6C793-6612-4431-B624-BD685E703E90}">
          <x14:formula1>
            <xm:f>Options!$C$9:$C$71</xm:f>
          </x14:formula1>
          <xm:sqref>A30:A34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FF9A-B9D8-4B59-94C8-F12F265FF974}">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830</v>
      </c>
      <c r="C2" s="204"/>
      <c r="D2" s="205"/>
      <c r="E2" s="36">
        <f>SUM(E5:E90)+E4</f>
        <v>0</v>
      </c>
      <c r="F2" s="206" t="s">
        <v>184</v>
      </c>
      <c r="G2" s="207"/>
      <c r="H2" s="208"/>
      <c r="I2" s="203" t="s">
        <v>776</v>
      </c>
      <c r="J2" s="204"/>
      <c r="K2" s="204"/>
      <c r="L2" s="204"/>
      <c r="M2" s="204"/>
      <c r="N2" s="79" t="s">
        <v>315</v>
      </c>
      <c r="O2" s="37">
        <v>12</v>
      </c>
      <c r="P2" s="151">
        <f>Z6</f>
        <v>162500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20</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Improved Emergency AutoBerth</v>
      </c>
      <c r="S6" s="144">
        <f>M11</f>
        <v>72</v>
      </c>
      <c r="T6" s="144" t="str">
        <f>B5</f>
        <v>None</v>
      </c>
      <c r="U6" s="144" t="str">
        <f>_xlfn.CONCAT(J14," m")</f>
        <v>0 m</v>
      </c>
      <c r="V6" s="145">
        <f>O2</f>
        <v>12</v>
      </c>
      <c r="W6" s="150">
        <f>P91</f>
        <v>180600</v>
      </c>
      <c r="X6" s="152">
        <f>IF(I2="Standard Design",0.1,0)</f>
        <v>0.1</v>
      </c>
      <c r="Y6" s="153">
        <v>2</v>
      </c>
      <c r="Z6" s="148">
        <f>FLOOR(P91*(1-X6),100)</f>
        <v>162500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2,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648</v>
      </c>
      <c r="K9" s="177" t="s">
        <v>64</v>
      </c>
      <c r="L9" s="178"/>
      <c r="M9" s="179"/>
      <c r="O9" s="5" t="str">
        <f>IF(B9&gt;0,_xlfn.CONCAT("Athletics (endurance) ",B9,", "),"")</f>
        <v/>
      </c>
      <c r="P9" s="137">
        <f>-500*E9</f>
        <v>0</v>
      </c>
      <c r="R9" s="116" t="s">
        <v>49</v>
      </c>
      <c r="S9" s="162" t="str">
        <f>IF(COUNT(B19:B26)=0,"none",_xlfn.CONCAT(COUNT(B19:B26), " X (STR ",H19," DEX ",L19,")"))</f>
        <v>5 X (STR 5 DEX 7)</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648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8)</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(enhanced), Storage Compartment (refrigerated), Vacuum Environment Protection,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648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7</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15</v>
      </c>
      <c r="K19" s="16">
        <v>0</v>
      </c>
      <c r="L19" s="61">
        <f t="shared" ref="L19:L28" si="5">D19+K19</f>
        <v>7</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7</v>
      </c>
      <c r="E20" s="101" cm="1">
        <f t="array" ref="E20">ROUNDUP(_xlfn.IFS($B$4-B20=0,0,$B$4-B20=1,$E$4*0.05,$B$4-B20=2,$E$4*0.08,$B$4-B20=3,$E$4*0.09,$B$4-B20&gt;3,$E$4*0.1,$B$4-B20&lt;0,$E$4*0.1*($B$4-B20)),0)</f>
        <v>13</v>
      </c>
      <c r="F20" s="54">
        <f t="shared" si="1"/>
        <v>10</v>
      </c>
      <c r="G20" s="16"/>
      <c r="H20" s="6">
        <f t="shared" si="2"/>
        <v>5</v>
      </c>
      <c r="I20" s="21">
        <f t="shared" si="3"/>
        <v>-1</v>
      </c>
      <c r="J20" s="54">
        <f t="shared" si="4"/>
        <v>15</v>
      </c>
      <c r="K20" s="16"/>
      <c r="L20" s="6">
        <f t="shared" si="5"/>
        <v>7</v>
      </c>
      <c r="M20" s="21">
        <f t="shared" si="6"/>
        <v>0</v>
      </c>
      <c r="O20" s="5" t="str">
        <f t="shared" si="7"/>
        <v/>
      </c>
      <c r="P20" s="137">
        <f>IF((B20-$B$4)*100&gt;-0.2*$P$5,(B20-$B$4)*100,-0.2*$P$5)+B20*100*(G20)^2+B20*200*(K20)^2</f>
        <v>-500</v>
      </c>
      <c r="R20" s="232" t="s">
        <v>861</v>
      </c>
      <c r="S20" s="189"/>
      <c r="T20" s="189"/>
      <c r="U20" s="189"/>
      <c r="V20" s="189"/>
      <c r="W20" s="189"/>
      <c r="X20" s="189"/>
      <c r="Y20" s="189"/>
      <c r="Z20" s="190"/>
    </row>
    <row r="21" spans="1:26" ht="12" customHeight="1" x14ac:dyDescent="0.35">
      <c r="A21" s="93" t="s">
        <v>52</v>
      </c>
      <c r="B21" s="30">
        <v>3</v>
      </c>
      <c r="C21" s="6">
        <f t="shared" si="0"/>
        <v>5</v>
      </c>
      <c r="D21" s="97">
        <f t="shared" si="8"/>
        <v>7</v>
      </c>
      <c r="E21" s="101" cm="1">
        <f t="array" ref="E21">IF(B21=0,0,ROUNDUP(_xlfn.IFS($B$4-B21=0,-$E$4*0.1,$B$4-B21=1,-$E$4*0.05,$B$4-B21=2,-$E$4*0.02,$B$4-B21=3,-$E$4*0.01,$B$4-B21&gt;3,-$E$4*0.01,$B$4-B21&lt;0,$E$4*0.2*($B$4-B21)),0))</f>
        <v>-2</v>
      </c>
      <c r="F21" s="54">
        <f t="shared" si="1"/>
        <v>10</v>
      </c>
      <c r="G21" s="16"/>
      <c r="H21" s="6">
        <f t="shared" si="2"/>
        <v>5</v>
      </c>
      <c r="I21" s="21">
        <f t="shared" si="3"/>
        <v>-1</v>
      </c>
      <c r="J21" s="54">
        <f t="shared" si="4"/>
        <v>15</v>
      </c>
      <c r="K21" s="16"/>
      <c r="L21" s="6">
        <f t="shared" si="5"/>
        <v>7</v>
      </c>
      <c r="M21" s="21">
        <f t="shared" si="6"/>
        <v>0</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7</v>
      </c>
      <c r="E22" s="101" cm="1">
        <f t="array" ref="E22">IF(B22=0,0,ROUNDUP(_xlfn.IFS($B$4-B22=0,-$E$4*0.1,$B$4-B22=1,-$E$4*0.05,$B$4-B22=2,-$E$4*0.02,$B$4-B22=3,-$E$4*0.01,$B$4-B22&gt;3,-$E$4*0.01,$B$4-B22&lt;0,$E$4*0.2*($B$4-B22)),0))</f>
        <v>-2</v>
      </c>
      <c r="F22" s="54">
        <f t="shared" si="1"/>
        <v>10</v>
      </c>
      <c r="G22" s="16"/>
      <c r="H22" s="6">
        <f t="shared" si="2"/>
        <v>5</v>
      </c>
      <c r="I22" s="21">
        <f t="shared" si="3"/>
        <v>-1</v>
      </c>
      <c r="J22" s="54">
        <f t="shared" si="4"/>
        <v>15</v>
      </c>
      <c r="K22" s="16"/>
      <c r="L22" s="6">
        <f t="shared" si="5"/>
        <v>7</v>
      </c>
      <c r="M22" s="21">
        <f t="shared" si="6"/>
        <v>0</v>
      </c>
      <c r="O22" s="5" t="str">
        <f t="shared" si="7"/>
        <v/>
      </c>
      <c r="P22" s="137">
        <f t="shared" si="9"/>
        <v>300</v>
      </c>
      <c r="R22" s="191"/>
      <c r="S22" s="192"/>
      <c r="T22" s="192"/>
      <c r="U22" s="192"/>
      <c r="V22" s="192"/>
      <c r="W22" s="192"/>
      <c r="X22" s="192"/>
      <c r="Y22" s="192"/>
      <c r="Z22" s="193"/>
    </row>
    <row r="23" spans="1:26" ht="12" customHeight="1" x14ac:dyDescent="0.35">
      <c r="A23" s="93" t="s">
        <v>54</v>
      </c>
      <c r="B23" s="30">
        <v>3</v>
      </c>
      <c r="C23" s="6">
        <f t="shared" si="0"/>
        <v>5</v>
      </c>
      <c r="D23" s="97">
        <f t="shared" si="8"/>
        <v>7</v>
      </c>
      <c r="E23" s="101" cm="1">
        <f t="array" ref="E23">IF(B23=0,0,ROUNDUP(_xlfn.IFS($B$4-B23=0,-$E$4*0.1,$B$4-B23=1,-$E$4*0.05,$B$4-B23=2,-$E$4*0.02,$B$4-B23=3,-$E$4*0.01,$B$4-B23&gt;3,-$E$4*0.01,$B$4-B23&lt;0,$E$4*0.2*($B$4-B23)),0))</f>
        <v>-2</v>
      </c>
      <c r="F23" s="54">
        <f t="shared" si="1"/>
        <v>10</v>
      </c>
      <c r="G23" s="16"/>
      <c r="H23" s="6">
        <f t="shared" si="2"/>
        <v>5</v>
      </c>
      <c r="I23" s="21">
        <f t="shared" si="3"/>
        <v>-1</v>
      </c>
      <c r="J23" s="54">
        <f t="shared" si="4"/>
        <v>15</v>
      </c>
      <c r="K23" s="16"/>
      <c r="L23" s="6">
        <f t="shared" si="5"/>
        <v>7</v>
      </c>
      <c r="M23" s="21">
        <f t="shared" si="6"/>
        <v>0</v>
      </c>
      <c r="O23" s="5" t="str">
        <f t="shared" si="7"/>
        <v/>
      </c>
      <c r="P23" s="137">
        <f t="shared" si="9"/>
        <v>300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15</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15</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15</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15</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15</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-160</v>
      </c>
      <c r="F37" s="38">
        <f>IF(_xlfn.XLOOKUP(A37,OptionsTable[Name],OptionsTable[xS],,,)=FALSE,1,IF($B$4&gt;0,$E$4,1))</f>
        <v>1</v>
      </c>
      <c r="G37" s="58">
        <v>160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32000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202</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2 max skill</v>
      </c>
      <c r="I39" s="200"/>
      <c r="J39" s="200"/>
      <c r="K39" s="44">
        <f>_xlfn.XLOOKUP(A39,OptionsTable[Name],OptionsTable[TL],,,)</f>
        <v>12</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5000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-9</v>
      </c>
      <c r="F40" s="38">
        <f>IF(_xlfn.XLOOKUP(A40,OptionsTable[Name],OptionsTable[xS],,,)=FALSE,1,IF($B$4&gt;0,$E$4,1))</f>
        <v>1</v>
      </c>
      <c r="G40" s="58">
        <v>9</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900</v>
      </c>
      <c r="R40" s="191"/>
      <c r="S40" s="192"/>
      <c r="T40" s="192"/>
      <c r="U40" s="192"/>
      <c r="V40" s="192"/>
      <c r="W40" s="192"/>
      <c r="X40" s="192"/>
      <c r="Y40" s="192"/>
      <c r="Z40" s="193"/>
    </row>
    <row r="41" spans="1:26" ht="12" customHeight="1" x14ac:dyDescent="0.35">
      <c r="A41" s="197" t="s">
        <v>100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128</v>
      </c>
      <c r="G41" s="58"/>
      <c r="H41" s="199" t="str">
        <f>IF(_xlfn.XLOOKUP(A41,OptionsTable[Name],OptionsTable[Notes],,,)="","",_xlfn.XLOOKUP(A41,OptionsTable[Name],OptionsTable[Notes],,,))</f>
        <v>+ Hostile env</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76800</v>
      </c>
      <c r="R41" s="191"/>
      <c r="S41" s="192"/>
      <c r="T41" s="192"/>
      <c r="U41" s="192"/>
      <c r="V41" s="192"/>
      <c r="W41" s="192"/>
      <c r="X41" s="192"/>
      <c r="Y41" s="192"/>
      <c r="Z41" s="193"/>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2</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8</v>
      </c>
      <c r="I66" s="15">
        <f>IF(H66&gt;17,4,IF(H66&gt;14,3,IF(H66&gt;11,2,IF(H66&gt;8,1,IF(H66&gt;5,0,IF(H66&gt;2,-1,-2))))))</f>
        <v>0</v>
      </c>
      <c r="K66" s="44"/>
      <c r="L66" s="56">
        <f>L65+F66</f>
        <v>2</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2,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180600</v>
      </c>
    </row>
    <row r="92" spans="1:16" ht="12" customHeight="1" thickBot="1" x14ac:dyDescent="0.45">
      <c r="A92" s="7"/>
      <c r="O92" s="149" t="str">
        <f>CONCATENATE("Cost With "&amp;X6*100 &amp; "% Discount")</f>
        <v>Cost With 10% Discount</v>
      </c>
      <c r="P92" s="147">
        <f>P2</f>
        <v>162500</v>
      </c>
    </row>
    <row r="93" spans="1:16" ht="12" customHeight="1" x14ac:dyDescent="0.35">
      <c r="B93" s="110"/>
    </row>
    <row r="94" spans="1:16" ht="12" customHeight="1" x14ac:dyDescent="0.4">
      <c r="B94" s="111"/>
    </row>
    <row r="95" spans="1:16" ht="12" customHeight="1" x14ac:dyDescent="0.35">
      <c r="A95" s="110"/>
      <c r="B95" s="112"/>
    </row>
  </sheetData>
  <dataConsolidate/>
  <mergeCells count="113">
    <mergeCell ref="B2:D2"/>
    <mergeCell ref="F2:H2"/>
    <mergeCell ref="I2:M2"/>
    <mergeCell ref="G3:J3"/>
    <mergeCell ref="G4:I4"/>
    <mergeCell ref="K4:L4"/>
    <mergeCell ref="R13:R17"/>
    <mergeCell ref="S12:Z12"/>
    <mergeCell ref="S13:Z17"/>
    <mergeCell ref="G9:I9"/>
    <mergeCell ref="K9:M9"/>
    <mergeCell ref="G10:H10"/>
    <mergeCell ref="K10:M10"/>
    <mergeCell ref="G5:I5"/>
    <mergeCell ref="H6:N6"/>
    <mergeCell ref="G7:I7"/>
    <mergeCell ref="G8:I8"/>
    <mergeCell ref="K8:M8"/>
    <mergeCell ref="H31:J31"/>
    <mergeCell ref="G11:H11"/>
    <mergeCell ref="K11:L11"/>
    <mergeCell ref="G12:O12"/>
    <mergeCell ref="H35:J35"/>
    <mergeCell ref="A36:D36"/>
    <mergeCell ref="H36:J36"/>
    <mergeCell ref="A37:D37"/>
    <mergeCell ref="H37:J37"/>
    <mergeCell ref="B29:D29"/>
    <mergeCell ref="H29:J29"/>
    <mergeCell ref="A30:D30"/>
    <mergeCell ref="H30:J30"/>
    <mergeCell ref="A31:D31"/>
    <mergeCell ref="A38:D38"/>
    <mergeCell ref="H38:J38"/>
    <mergeCell ref="A32:D32"/>
    <mergeCell ref="H32:J32"/>
    <mergeCell ref="A33:D33"/>
    <mergeCell ref="H33:J33"/>
    <mergeCell ref="A34:D34"/>
    <mergeCell ref="H34:J34"/>
    <mergeCell ref="A43:D43"/>
    <mergeCell ref="H43:J43"/>
    <mergeCell ref="A44:D44"/>
    <mergeCell ref="H44:J44"/>
    <mergeCell ref="A45:D45"/>
    <mergeCell ref="H45:J45"/>
    <mergeCell ref="A39:D39"/>
    <mergeCell ref="H39:J39"/>
    <mergeCell ref="A40:D40"/>
    <mergeCell ref="H40:J40"/>
    <mergeCell ref="H41:J41"/>
    <mergeCell ref="H42:J42"/>
    <mergeCell ref="A41:D41"/>
    <mergeCell ref="A42:D42"/>
    <mergeCell ref="A49:D49"/>
    <mergeCell ref="H49:J49"/>
    <mergeCell ref="A50:D50"/>
    <mergeCell ref="H50:J50"/>
    <mergeCell ref="A51:D51"/>
    <mergeCell ref="H51:J51"/>
    <mergeCell ref="A46:D46"/>
    <mergeCell ref="H46:J46"/>
    <mergeCell ref="A47:D47"/>
    <mergeCell ref="H47:J47"/>
    <mergeCell ref="A48:D48"/>
    <mergeCell ref="H48:J48"/>
    <mergeCell ref="A55:D55"/>
    <mergeCell ref="H55:J55"/>
    <mergeCell ref="A56:D56"/>
    <mergeCell ref="H56:J56"/>
    <mergeCell ref="A57:D57"/>
    <mergeCell ref="H57:J57"/>
    <mergeCell ref="A52:D52"/>
    <mergeCell ref="H52:J52"/>
    <mergeCell ref="A53:D53"/>
    <mergeCell ref="H53:J53"/>
    <mergeCell ref="A54:D54"/>
    <mergeCell ref="H54:J54"/>
    <mergeCell ref="B65:D65"/>
    <mergeCell ref="B69:D69"/>
    <mergeCell ref="B70:D70"/>
    <mergeCell ref="B71:D71"/>
    <mergeCell ref="B73:C73"/>
    <mergeCell ref="A59:D59"/>
    <mergeCell ref="H59:I59"/>
    <mergeCell ref="A60:D60"/>
    <mergeCell ref="H60:I60"/>
    <mergeCell ref="A61:D61"/>
    <mergeCell ref="H61:I61"/>
    <mergeCell ref="R20:Z75"/>
    <mergeCell ref="B86:C86"/>
    <mergeCell ref="B87:C87"/>
    <mergeCell ref="B88:C88"/>
    <mergeCell ref="B89:C89"/>
    <mergeCell ref="B90:C90"/>
    <mergeCell ref="S7:Z7"/>
    <mergeCell ref="S8:Z8"/>
    <mergeCell ref="S9:Z9"/>
    <mergeCell ref="S10:Z10"/>
    <mergeCell ref="S11:Z11"/>
    <mergeCell ref="B80:C80"/>
    <mergeCell ref="B81:C81"/>
    <mergeCell ref="B82:C82"/>
    <mergeCell ref="B83:C83"/>
    <mergeCell ref="B84:C84"/>
    <mergeCell ref="B85:C85"/>
    <mergeCell ref="B74:C74"/>
    <mergeCell ref="B75:C75"/>
    <mergeCell ref="B76:C76"/>
    <mergeCell ref="B77:C77"/>
    <mergeCell ref="B78:C78"/>
    <mergeCell ref="B79:C79"/>
    <mergeCell ref="B64:D64"/>
  </mergeCells>
  <conditionalFormatting sqref="B14">
    <cfRule type="expression" dxfId="53" priority="7">
      <formula>ABS($J$14-6) &gt; 6</formula>
    </cfRule>
  </conditionalFormatting>
  <conditionalFormatting sqref="E2">
    <cfRule type="expression" dxfId="52" priority="5">
      <formula>$E$2&lt;0</formula>
    </cfRule>
  </conditionalFormatting>
  <conditionalFormatting sqref="E15:E17">
    <cfRule type="expression" dxfId="51" priority="1">
      <formula>AND($B$4=0,E15&lt;0)</formula>
    </cfRule>
  </conditionalFormatting>
  <conditionalFormatting sqref="K5 K30:K34 K36:K57 K59:K61 K64:K67 K73:K90">
    <cfRule type="expression" dxfId="50" priority="6">
      <formula>K5&gt;$O$2</formula>
    </cfRule>
  </conditionalFormatting>
  <conditionalFormatting sqref="L57">
    <cfRule type="expression" dxfId="49" priority="2">
      <formula>L57&gt;$O$2</formula>
    </cfRule>
  </conditionalFormatting>
  <conditionalFormatting sqref="L67">
    <cfRule type="expression" dxfId="48" priority="4">
      <formula>L67&lt;0</formula>
    </cfRule>
  </conditionalFormatting>
  <dataValidations count="20">
    <dataValidation type="whole" allowBlank="1" showInputMessage="1" showErrorMessage="1" error="Total Armour cannot exceed Maximum" sqref="B7" xr:uid="{D06CE10F-79CD-470A-9C02-A6D4FB6B3DC1}">
      <formula1>-1</formula1>
      <formula2>L7-MID(A7,18,1)</formula2>
    </dataValidation>
    <dataValidation type="whole" allowBlank="1" showInputMessage="1" showErrorMessage="1" error="Max DEX = TL+3" sqref="K19:K28" xr:uid="{CEE1A7CA-8EC7-4486-B57A-32997DFE06A9}">
      <formula1>0</formula1>
      <formula2>J19-D19</formula2>
    </dataValidation>
    <dataValidation type="whole" allowBlank="1" showInputMessage="1" showErrorMessage="1" error="Max STR = Lesser of Size + TL or SIZE X 4" sqref="G19:G28" xr:uid="{8682546A-5353-4626-B558-00E32998D7C8}">
      <formula1>0</formula1>
      <formula2>F19-C19</formula2>
    </dataValidation>
    <dataValidation type="whole" allowBlank="1" showInputMessage="1" showErrorMessage="1" sqref="E13:E14" xr:uid="{A7D4F677-69C8-487B-8436-432B1C6E4610}">
      <formula1>0</formula1>
      <formula2>#REF!/2</formula2>
    </dataValidation>
    <dataValidation type="whole" allowBlank="1" showInputMessage="1" showErrorMessage="1" sqref="C14:D14" xr:uid="{3BC67CAB-62C0-4049-A502-55FDB3B7887B}">
      <formula1>0</formula1>
      <formula2>D15/2</formula2>
    </dataValidation>
    <dataValidation type="whole" allowBlank="1" showInputMessage="1" showErrorMessage="1" sqref="C13:D13" xr:uid="{7405DC8C-BB26-4DEC-B109-02A49E812C84}">
      <formula1>0</formula1>
      <formula2>D5/2</formula2>
    </dataValidation>
    <dataValidation type="whole" allowBlank="1" showInputMessage="1" showErrorMessage="1" sqref="C11:D11" xr:uid="{4608495C-4FEF-4D13-AE4A-2ABFF9BE8835}">
      <formula1>0</formula1>
      <formula2>D4/2</formula2>
    </dataValidation>
    <dataValidation type="whole" allowBlank="1" showInputMessage="1" showErrorMessage="1" error="Must be whole number between -6 and +12" sqref="B14" xr:uid="{50058FEB-40E4-4EDE-A4BD-C013939BC815}">
      <formula1>-6</formula1>
      <formula2>12</formula2>
    </dataValidation>
    <dataValidation type="list" allowBlank="1" showInputMessage="1" showErrorMessage="1" sqref="B16" xr:uid="{2BCC7B2B-EF9D-4A35-8F29-676F707E430F}">
      <formula1>"No,1X,2X,3X"</formula1>
    </dataValidation>
    <dataValidation type="list" allowBlank="1" showInputMessage="1" showErrorMessage="1" sqref="B15" xr:uid="{CD7637D3-2543-42F1-A2F6-FF8C08457E63}">
      <formula1>"FALSE,TRUE"</formula1>
    </dataValidation>
    <dataValidation type="list" allowBlank="1" showInputMessage="1" showErrorMessage="1" sqref="D73:D90 B66" xr:uid="{FEAD0E1C-8A62-4AFA-8FA8-07EEAAF19185}">
      <formula1>"0,1,2,3"</formula1>
    </dataValidation>
    <dataValidation type="list" allowBlank="1" showInputMessage="1" showErrorMessage="1" sqref="B13" xr:uid="{A8F7685E-0059-4E8B-9447-9612BAF93C9D}">
      <formula1>"0,1,2,3,4"</formula1>
    </dataValidation>
    <dataValidation type="list" allowBlank="1" showInputMessage="1" showErrorMessage="1" sqref="B27:B28 B67 B8" xr:uid="{656AC15D-978C-4FCF-8D0D-9839AB24A8DC}">
      <formula1>"TRUE,FALSE"</formula1>
    </dataValidation>
    <dataValidation type="whole" allowBlank="1" showInputMessage="1" showErrorMessage="1" error="Max Manipulator Size = Chassis Size +2_x000a_Min Manipulator Size = 0_x000a_Whole Numbers Only" sqref="B19:B26" xr:uid="{33D940D7-4351-4B7B-A9EA-FA1742C6065E}">
      <formula1>0</formula1>
      <formula2>$B$4+2</formula2>
    </dataValidation>
    <dataValidation type="list" allowBlank="1" showInputMessage="1" showErrorMessage="1" sqref="O2" xr:uid="{62659DC8-9EAD-49C3-B4B0-CF58A0CF0747}">
      <formula1>"7,8,9,10,11,12,13,14,15,16,17,18"</formula1>
    </dataValidation>
    <dataValidation type="list" allowBlank="1" showInputMessage="1" showErrorMessage="1" sqref="B4" xr:uid="{040096D7-6892-4E3D-8B13-9E0456D88A57}">
      <formula1>"0,1,2,3,4,5,6,7,8"</formula1>
    </dataValidation>
    <dataValidation type="list" allowBlank="1" showInputMessage="1" showErrorMessage="1" error="Maximum = 3" sqref="B9" xr:uid="{156AC45B-5F87-4681-B790-7D913112579E}">
      <formula1>"0,1,2,3"</formula1>
    </dataValidation>
    <dataValidation type="whole" allowBlank="1" showInputMessage="1" showErrorMessage="1" sqref="E11" xr:uid="{5A2B69F1-F0B1-4BB4-8D17-147AD48BFB4B}">
      <formula1>0</formula1>
      <formula2>J4/2</formula2>
    </dataValidation>
    <dataValidation type="whole" allowBlank="1" showInputMessage="1" showErrorMessage="1" error="Must be whole number. No more than 50% of slots may be used for Resiliency" sqref="B10" xr:uid="{D591CC93-C618-49D7-8D69-FF9867742F0F}">
      <formula1>0</formula1>
      <formula2>E4/2</formula2>
    </dataValidation>
    <dataValidation type="whole" allowBlank="1" showInputMessage="1" showErrorMessage="1" error="Must be a negative number no less than a 50% of the base hits" sqref="B11" xr:uid="{EB7313C3-17FE-46F8-94CC-748FC875C873}">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0F9E21A-74F8-413C-B7EB-D692D2C1C225}">
          <x14:formula1>
            <xm:f>Brains!$K$3:$K$16</xm:f>
          </x14:formula1>
          <xm:sqref>B65</xm:sqref>
        </x14:dataValidation>
        <x14:dataValidation type="list" allowBlank="1" showInputMessage="1" showErrorMessage="1" xr:uid="{29B0909E-5C3C-4E44-B3A6-CF1A5057EFBD}">
          <x14:formula1>
            <xm:f>Packages!$B$23:$B$25</xm:f>
          </x14:formula1>
          <xm:sqref>B71</xm:sqref>
        </x14:dataValidation>
        <x14:dataValidation type="list" allowBlank="1" showInputMessage="1" showErrorMessage="1" xr:uid="{0D43604E-AF28-4546-9F42-16BEF312920B}">
          <x14:formula1>
            <xm:f>Packages!$B$3:$B$7</xm:f>
          </x14:formula1>
          <xm:sqref>B69</xm:sqref>
        </x14:dataValidation>
        <x14:dataValidation type="list" allowBlank="1" showInputMessage="1" showErrorMessage="1" xr:uid="{FE110E41-B557-45C7-9349-D4DF3AFD31D4}">
          <x14:formula1>
            <xm:f>Brains!$B$3:$B$19</xm:f>
          </x14:formula1>
          <xm:sqref>B64</xm:sqref>
        </x14:dataValidation>
        <x14:dataValidation type="list" allowBlank="1" showInputMessage="1" showErrorMessage="1" xr:uid="{82316AEB-8046-4EB6-9436-8CCCDC6F83A7}">
          <x14:formula1>
            <xm:f>Packages!$B$11:$B$19</xm:f>
          </x14:formula1>
          <xm:sqref>B70</xm:sqref>
        </x14:dataValidation>
        <x14:dataValidation type="list" allowBlank="1" showInputMessage="1" showErrorMessage="1" xr:uid="{A24F0405-B510-41BF-BCDF-54FC6A777E97}">
          <x14:formula1>
            <xm:f>Chassis!$H$3:$H$13</xm:f>
          </x14:formula1>
          <xm:sqref>B17 B5</xm:sqref>
        </x14:dataValidation>
        <x14:dataValidation type="list" allowBlank="1" showInputMessage="1" showErrorMessage="1" xr:uid="{3F344B6F-7F96-42D8-9848-6580C0B54903}">
          <x14:formula1>
            <xm:f>Packages!$B$29:$B$82</xm:f>
          </x14:formula1>
          <xm:sqref>A73:A90</xm:sqref>
        </x14:dataValidation>
        <x14:dataValidation type="list" allowBlank="1" showInputMessage="1" showErrorMessage="1" xr:uid="{E613CA9B-65B3-4988-BF63-527F922064D6}">
          <x14:formula1>
            <xm:f>Options!$C$9:$C$71</xm:f>
          </x14:formula1>
          <xm:sqref>A30:A34</xm:sqref>
        </x14:dataValidation>
        <x14:dataValidation type="list" allowBlank="1" showInputMessage="1" showErrorMessage="1" xr:uid="{2BA000F1-4652-47F9-8B64-0E9B2496DEE8}">
          <x14:formula1>
            <xm:f>Options!$C$9:$C$256</xm:f>
          </x14:formula1>
          <xm:sqref>A36:A56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E64E-BEE8-49BC-A65B-D24FA6639082}">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831</v>
      </c>
      <c r="C2" s="204"/>
      <c r="D2" s="205"/>
      <c r="E2" s="36">
        <f>SUM(E5:E90)+E4</f>
        <v>0</v>
      </c>
      <c r="F2" s="206" t="s">
        <v>184</v>
      </c>
      <c r="G2" s="207"/>
      <c r="H2" s="208"/>
      <c r="I2" s="203" t="s">
        <v>776</v>
      </c>
      <c r="J2" s="204"/>
      <c r="K2" s="204"/>
      <c r="L2" s="204"/>
      <c r="M2" s="204"/>
      <c r="N2" s="79" t="s">
        <v>315</v>
      </c>
      <c r="O2" s="37">
        <v>14</v>
      </c>
      <c r="P2" s="151">
        <f>Z6</f>
        <v>179500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22</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Enhanced Emergency AutoBerth</v>
      </c>
      <c r="S6" s="144">
        <f>M11</f>
        <v>72</v>
      </c>
      <c r="T6" s="144" t="str">
        <f>B5</f>
        <v>None</v>
      </c>
      <c r="U6" s="144" t="str">
        <f>_xlfn.CONCAT(J14," m")</f>
        <v>0 m</v>
      </c>
      <c r="V6" s="145">
        <f>O2</f>
        <v>14</v>
      </c>
      <c r="W6" s="150">
        <f>P91</f>
        <v>199500</v>
      </c>
      <c r="X6" s="152">
        <f>IF(I2="Standard Design",0.1,0)</f>
        <v>0.1</v>
      </c>
      <c r="Y6" s="153">
        <v>2</v>
      </c>
      <c r="Z6" s="148">
        <f>FLOOR(P91*(1-X6),100)</f>
        <v>179500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3,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648</v>
      </c>
      <c r="K9" s="177" t="s">
        <v>64</v>
      </c>
      <c r="L9" s="178"/>
      <c r="M9" s="179"/>
      <c r="O9" s="5" t="str">
        <f>IF(B9&gt;0,_xlfn.CONCAT("Athletics (endurance) ",B9,", "),"")</f>
        <v/>
      </c>
      <c r="P9" s="137">
        <f>-500*E9</f>
        <v>0</v>
      </c>
      <c r="R9" s="116" t="s">
        <v>49</v>
      </c>
      <c r="S9" s="162" t="str">
        <f>IF(COUNT(B19:B26)=0,"none",_xlfn.CONCAT(COUNT(B19:B26), " X (STR ",H19," DEX ",L19,")"))</f>
        <v>5 X (STR 5 DEX 8)</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648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Vacuum Environment Protection,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648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8</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17</v>
      </c>
      <c r="K19" s="16">
        <v>0</v>
      </c>
      <c r="L19" s="61">
        <f t="shared" ref="L19:L28" si="5">D19+K19</f>
        <v>8</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8</v>
      </c>
      <c r="E20" s="101" cm="1">
        <f t="array" ref="E20">ROUNDUP(_xlfn.IFS($B$4-B20=0,0,$B$4-B20=1,$E$4*0.05,$B$4-B20=2,$E$4*0.08,$B$4-B20=3,$E$4*0.09,$B$4-B20&gt;3,$E$4*0.1,$B$4-B20&lt;0,$E$4*0.1*($B$4-B20)),0)</f>
        <v>13</v>
      </c>
      <c r="F20" s="54">
        <f t="shared" si="1"/>
        <v>10</v>
      </c>
      <c r="G20" s="16"/>
      <c r="H20" s="6">
        <f t="shared" si="2"/>
        <v>5</v>
      </c>
      <c r="I20" s="21">
        <f t="shared" si="3"/>
        <v>-1</v>
      </c>
      <c r="J20" s="54">
        <f t="shared" si="4"/>
        <v>17</v>
      </c>
      <c r="K20" s="16"/>
      <c r="L20" s="6">
        <f t="shared" si="5"/>
        <v>8</v>
      </c>
      <c r="M20" s="21">
        <f t="shared" si="6"/>
        <v>0</v>
      </c>
      <c r="O20" s="5" t="str">
        <f t="shared" si="7"/>
        <v/>
      </c>
      <c r="P20" s="137">
        <f>IF((B20-$B$4)*100&gt;-0.2*$P$5,(B20-$B$4)*100,-0.2*$P$5)+B20*100*(G20)^2+B20*200*(K20)^2</f>
        <v>-500</v>
      </c>
      <c r="R20" s="232" t="s">
        <v>864</v>
      </c>
      <c r="S20" s="189"/>
      <c r="T20" s="189"/>
      <c r="U20" s="189"/>
      <c r="V20" s="189"/>
      <c r="W20" s="189"/>
      <c r="X20" s="189"/>
      <c r="Y20" s="189"/>
      <c r="Z20" s="190"/>
    </row>
    <row r="21" spans="1:26" ht="12" customHeight="1" x14ac:dyDescent="0.35">
      <c r="A21" s="93" t="s">
        <v>52</v>
      </c>
      <c r="B21" s="30">
        <v>3</v>
      </c>
      <c r="C21" s="6">
        <f t="shared" si="0"/>
        <v>5</v>
      </c>
      <c r="D21" s="97">
        <f t="shared" si="8"/>
        <v>8</v>
      </c>
      <c r="E21" s="101" cm="1">
        <f t="array" ref="E21">IF(B21=0,0,ROUNDUP(_xlfn.IFS($B$4-B21=0,-$E$4*0.1,$B$4-B21=1,-$E$4*0.05,$B$4-B21=2,-$E$4*0.02,$B$4-B21=3,-$E$4*0.01,$B$4-B21&gt;3,-$E$4*0.01,$B$4-B21&lt;0,$E$4*0.2*($B$4-B21)),0))</f>
        <v>-2</v>
      </c>
      <c r="F21" s="54">
        <f t="shared" si="1"/>
        <v>10</v>
      </c>
      <c r="G21" s="16"/>
      <c r="H21" s="6">
        <f t="shared" si="2"/>
        <v>5</v>
      </c>
      <c r="I21" s="21">
        <f t="shared" si="3"/>
        <v>-1</v>
      </c>
      <c r="J21" s="54">
        <f t="shared" si="4"/>
        <v>17</v>
      </c>
      <c r="K21" s="16"/>
      <c r="L21" s="6">
        <f t="shared" si="5"/>
        <v>8</v>
      </c>
      <c r="M21" s="21">
        <f t="shared" si="6"/>
        <v>0</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8</v>
      </c>
      <c r="E22" s="101" cm="1">
        <f t="array" ref="E22">IF(B22=0,0,ROUNDUP(_xlfn.IFS($B$4-B22=0,-$E$4*0.1,$B$4-B22=1,-$E$4*0.05,$B$4-B22=2,-$E$4*0.02,$B$4-B22=3,-$E$4*0.01,$B$4-B22&gt;3,-$E$4*0.01,$B$4-B22&lt;0,$E$4*0.2*($B$4-B22)),0))</f>
        <v>-2</v>
      </c>
      <c r="F22" s="54">
        <f t="shared" si="1"/>
        <v>10</v>
      </c>
      <c r="G22" s="16"/>
      <c r="H22" s="6">
        <f t="shared" si="2"/>
        <v>5</v>
      </c>
      <c r="I22" s="21">
        <f t="shared" si="3"/>
        <v>-1</v>
      </c>
      <c r="J22" s="54">
        <f t="shared" si="4"/>
        <v>17</v>
      </c>
      <c r="K22" s="16"/>
      <c r="L22" s="6">
        <f t="shared" si="5"/>
        <v>8</v>
      </c>
      <c r="M22" s="21">
        <f t="shared" si="6"/>
        <v>0</v>
      </c>
      <c r="O22" s="5" t="str">
        <f t="shared" si="7"/>
        <v/>
      </c>
      <c r="P22" s="137">
        <f t="shared" si="9"/>
        <v>300</v>
      </c>
      <c r="R22" s="191"/>
      <c r="S22" s="192"/>
      <c r="T22" s="192"/>
      <c r="U22" s="192"/>
      <c r="V22" s="192"/>
      <c r="W22" s="192"/>
      <c r="X22" s="192"/>
      <c r="Y22" s="192"/>
      <c r="Z22" s="193"/>
    </row>
    <row r="23" spans="1:26" ht="12" customHeight="1" x14ac:dyDescent="0.35">
      <c r="A23" s="93" t="s">
        <v>54</v>
      </c>
      <c r="B23" s="30">
        <v>3</v>
      </c>
      <c r="C23" s="6">
        <f t="shared" si="0"/>
        <v>5</v>
      </c>
      <c r="D23" s="97">
        <f t="shared" si="8"/>
        <v>8</v>
      </c>
      <c r="E23" s="101" cm="1">
        <f t="array" ref="E23">IF(B23=0,0,ROUNDUP(_xlfn.IFS($B$4-B23=0,-$E$4*0.1,$B$4-B23=1,-$E$4*0.05,$B$4-B23=2,-$E$4*0.02,$B$4-B23=3,-$E$4*0.01,$B$4-B23&gt;3,-$E$4*0.01,$B$4-B23&lt;0,$E$4*0.2*($B$4-B23)),0))</f>
        <v>-2</v>
      </c>
      <c r="F23" s="54">
        <f t="shared" si="1"/>
        <v>10</v>
      </c>
      <c r="G23" s="16"/>
      <c r="H23" s="6">
        <f t="shared" si="2"/>
        <v>5</v>
      </c>
      <c r="I23" s="21">
        <f t="shared" si="3"/>
        <v>-1</v>
      </c>
      <c r="J23" s="54">
        <f t="shared" si="4"/>
        <v>17</v>
      </c>
      <c r="K23" s="16"/>
      <c r="L23" s="6">
        <f t="shared" si="5"/>
        <v>8</v>
      </c>
      <c r="M23" s="21">
        <f t="shared" si="6"/>
        <v>0</v>
      </c>
      <c r="O23" s="5" t="str">
        <f t="shared" si="7"/>
        <v/>
      </c>
      <c r="P23" s="137">
        <f t="shared" si="9"/>
        <v>300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17</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17</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17</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17</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17</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-160</v>
      </c>
      <c r="F37" s="38">
        <f>IF(_xlfn.XLOOKUP(A37,OptionsTable[Name],OptionsTable[xS],,,)=FALSE,1,IF($B$4&gt;0,$E$4,1))</f>
        <v>1</v>
      </c>
      <c r="G37" s="58">
        <v>160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32000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-8</v>
      </c>
      <c r="F40" s="38">
        <f>IF(_xlfn.XLOOKUP(A40,OptionsTable[Name],OptionsTable[xS],,,)=FALSE,1,IF($B$4&gt;0,$E$4,1))</f>
        <v>1</v>
      </c>
      <c r="G40" s="58">
        <v>8</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800</v>
      </c>
      <c r="R40" s="191"/>
      <c r="S40" s="192"/>
      <c r="T40" s="192"/>
      <c r="U40" s="192"/>
      <c r="V40" s="192"/>
      <c r="W40" s="192"/>
      <c r="X40" s="192"/>
      <c r="Y40" s="192"/>
      <c r="Z40" s="193"/>
    </row>
    <row r="41" spans="1:26" ht="12" customHeight="1" x14ac:dyDescent="0.35">
      <c r="A41" s="197" t="s">
        <v>100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128</v>
      </c>
      <c r="G41" s="58"/>
      <c r="H41" s="199" t="str">
        <f>IF(_xlfn.XLOOKUP(A41,OptionsTable[Name],OptionsTable[Notes],,,)="","",_xlfn.XLOOKUP(A41,OptionsTable[Name],OptionsTable[Notes],,,))</f>
        <v>+ Hostile env</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76800</v>
      </c>
      <c r="R41" s="191"/>
      <c r="S41" s="192"/>
      <c r="T41" s="192"/>
      <c r="U41" s="192"/>
      <c r="V41" s="192"/>
      <c r="W41" s="192"/>
      <c r="X41" s="192"/>
      <c r="Y41" s="192"/>
      <c r="Z41" s="193"/>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156</v>
      </c>
      <c r="C65" s="198"/>
      <c r="D65" s="198"/>
      <c r="E65" s="40">
        <f>-_xlfn.XLOOKUP(B65,Bandwidth[Minimum Base Brain],Bandwidth[Slots],,,)</f>
        <v>-1</v>
      </c>
      <c r="F65" s="38"/>
      <c r="K65" s="44">
        <f>_xlfn.XLOOKUP(B65,Bandwidth[Minimum Base Brain],Bandwidth[TL],,,)</f>
        <v>10</v>
      </c>
      <c r="L65">
        <f>_xlfn.XLOOKUP(B65,Bandwidth[Minimum Base Brain],Bandwidth[Bandwidth],,,)+L64</f>
        <v>4</v>
      </c>
      <c r="M65" t="s">
        <v>310</v>
      </c>
      <c r="P65" s="137">
        <f>_xlfn.XLOOKUP(B65,Bandwidth[Minimum Base Brain],Bandwidth[Cost],,,)</f>
        <v>5000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9</v>
      </c>
      <c r="I66" s="15">
        <f>IF(H66&gt;17,4,IF(H66&gt;14,3,IF(H66&gt;11,2,IF(H66&gt;8,1,IF(H66&gt;5,0,IF(H66&gt;2,-1,-2))))))</f>
        <v>1</v>
      </c>
      <c r="K66" s="44"/>
      <c r="L66" s="56">
        <f>L65+F66</f>
        <v>3</v>
      </c>
      <c r="M66" t="s">
        <v>310</v>
      </c>
      <c r="P66" s="137" cm="1">
        <f t="array" ref="P66">_xlfn.IFS(B66=0,0,B66=1,(H64+1)*1000,B66=2,(H64+1)*(H64+2)*1000,B66=3,(H64+1)*(H64+2)*(H64+3)*1000)*IF(H66&gt;11,2,1)</f>
        <v>9000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3,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199500</v>
      </c>
    </row>
    <row r="92" spans="1:16" ht="12" customHeight="1" thickBot="1" x14ac:dyDescent="0.45">
      <c r="A92" s="7"/>
      <c r="O92" s="149" t="str">
        <f>CONCATENATE("Cost With "&amp;X6*100 &amp; "% Discount")</f>
        <v>Cost With 10% Discount</v>
      </c>
      <c r="P92" s="147">
        <f>P2</f>
        <v>179500</v>
      </c>
    </row>
    <row r="93" spans="1:16" ht="12" customHeight="1" x14ac:dyDescent="0.35">
      <c r="B93" s="110"/>
    </row>
    <row r="94" spans="1:16" ht="12" customHeight="1" x14ac:dyDescent="0.4">
      <c r="B94" s="111"/>
    </row>
    <row r="95" spans="1:16" ht="12" customHeight="1" x14ac:dyDescent="0.35">
      <c r="A95" s="110"/>
      <c r="B95" s="112"/>
    </row>
  </sheetData>
  <dataConsolidate/>
  <mergeCells count="113">
    <mergeCell ref="B2:D2"/>
    <mergeCell ref="F2:H2"/>
    <mergeCell ref="I2:M2"/>
    <mergeCell ref="G3:J3"/>
    <mergeCell ref="G4:I4"/>
    <mergeCell ref="K4:L4"/>
    <mergeCell ref="G12:O12"/>
    <mergeCell ref="B29:D29"/>
    <mergeCell ref="H29:J29"/>
    <mergeCell ref="G10:H10"/>
    <mergeCell ref="K10:M10"/>
    <mergeCell ref="G11:H11"/>
    <mergeCell ref="K11:L11"/>
    <mergeCell ref="G5:I5"/>
    <mergeCell ref="H6:N6"/>
    <mergeCell ref="G7:I7"/>
    <mergeCell ref="G8:I8"/>
    <mergeCell ref="K8:M8"/>
    <mergeCell ref="G9:I9"/>
    <mergeCell ref="K9:M9"/>
    <mergeCell ref="A30:D30"/>
    <mergeCell ref="H30:J30"/>
    <mergeCell ref="A31:D31"/>
    <mergeCell ref="H31:J31"/>
    <mergeCell ref="A32:D32"/>
    <mergeCell ref="H32:J32"/>
    <mergeCell ref="A44:D44"/>
    <mergeCell ref="H44:J44"/>
    <mergeCell ref="A45:D45"/>
    <mergeCell ref="H45:J45"/>
    <mergeCell ref="A37:D37"/>
    <mergeCell ref="H37:J37"/>
    <mergeCell ref="A38:D38"/>
    <mergeCell ref="H38:J38"/>
    <mergeCell ref="A39:D39"/>
    <mergeCell ref="H39:J39"/>
    <mergeCell ref="A33:D33"/>
    <mergeCell ref="H33:J33"/>
    <mergeCell ref="A34:D34"/>
    <mergeCell ref="H34:J34"/>
    <mergeCell ref="H35:J35"/>
    <mergeCell ref="A36:D36"/>
    <mergeCell ref="H36:J36"/>
    <mergeCell ref="A46:D46"/>
    <mergeCell ref="H46:J46"/>
    <mergeCell ref="A40:D40"/>
    <mergeCell ref="H40:J40"/>
    <mergeCell ref="H41:J41"/>
    <mergeCell ref="H42:J42"/>
    <mergeCell ref="A43:D43"/>
    <mergeCell ref="H43:J43"/>
    <mergeCell ref="A41:D41"/>
    <mergeCell ref="A42:D42"/>
    <mergeCell ref="A50:D50"/>
    <mergeCell ref="H50:J50"/>
    <mergeCell ref="A51:D51"/>
    <mergeCell ref="H51:J51"/>
    <mergeCell ref="A52:D52"/>
    <mergeCell ref="H52:J52"/>
    <mergeCell ref="A47:D47"/>
    <mergeCell ref="H47:J47"/>
    <mergeCell ref="A48:D48"/>
    <mergeCell ref="H48:J48"/>
    <mergeCell ref="A49:D49"/>
    <mergeCell ref="H49:J49"/>
    <mergeCell ref="A56:D56"/>
    <mergeCell ref="H56:J56"/>
    <mergeCell ref="A57:D57"/>
    <mergeCell ref="H57:J57"/>
    <mergeCell ref="A59:D59"/>
    <mergeCell ref="H59:I59"/>
    <mergeCell ref="A53:D53"/>
    <mergeCell ref="H53:J53"/>
    <mergeCell ref="A54:D54"/>
    <mergeCell ref="H54:J54"/>
    <mergeCell ref="A55:D55"/>
    <mergeCell ref="H55:J55"/>
    <mergeCell ref="B69:D69"/>
    <mergeCell ref="B70:D70"/>
    <mergeCell ref="B71:D71"/>
    <mergeCell ref="B73:C73"/>
    <mergeCell ref="B74:C74"/>
    <mergeCell ref="B75:C75"/>
    <mergeCell ref="A60:D60"/>
    <mergeCell ref="H60:I60"/>
    <mergeCell ref="A61:D61"/>
    <mergeCell ref="H61:I61"/>
    <mergeCell ref="B64:D64"/>
    <mergeCell ref="B65:D65"/>
    <mergeCell ref="R20:Z75"/>
    <mergeCell ref="S11:Z11"/>
    <mergeCell ref="S12:Z12"/>
    <mergeCell ref="S13:Z17"/>
    <mergeCell ref="B88:C88"/>
    <mergeCell ref="B89:C89"/>
    <mergeCell ref="B90:C90"/>
    <mergeCell ref="R13:R17"/>
    <mergeCell ref="S7:Z7"/>
    <mergeCell ref="S8:Z8"/>
    <mergeCell ref="S9:Z9"/>
    <mergeCell ref="S10:Z10"/>
    <mergeCell ref="B82:C82"/>
    <mergeCell ref="B83:C83"/>
    <mergeCell ref="B84:C84"/>
    <mergeCell ref="B85:C85"/>
    <mergeCell ref="B86:C86"/>
    <mergeCell ref="B87:C87"/>
    <mergeCell ref="B76:C76"/>
    <mergeCell ref="B77:C77"/>
    <mergeCell ref="B78:C78"/>
    <mergeCell ref="B79:C79"/>
    <mergeCell ref="B80:C80"/>
    <mergeCell ref="B81:C81"/>
  </mergeCells>
  <conditionalFormatting sqref="B14">
    <cfRule type="expression" dxfId="47" priority="7">
      <formula>ABS($J$14-6) &gt; 6</formula>
    </cfRule>
  </conditionalFormatting>
  <conditionalFormatting sqref="E2">
    <cfRule type="expression" dxfId="46" priority="5">
      <formula>$E$2&lt;0</formula>
    </cfRule>
  </conditionalFormatting>
  <conditionalFormatting sqref="E15:E17">
    <cfRule type="expression" dxfId="45" priority="1">
      <formula>AND($B$4=0,E15&lt;0)</formula>
    </cfRule>
  </conditionalFormatting>
  <conditionalFormatting sqref="K5 K30:K34 K36:K57 K59:K61 K64:K67 K73:K90">
    <cfRule type="expression" dxfId="44" priority="6">
      <formula>K5&gt;$O$2</formula>
    </cfRule>
  </conditionalFormatting>
  <conditionalFormatting sqref="L57">
    <cfRule type="expression" dxfId="43" priority="2">
      <formula>L57&gt;$O$2</formula>
    </cfRule>
  </conditionalFormatting>
  <conditionalFormatting sqref="L67">
    <cfRule type="expression" dxfId="42" priority="4">
      <formula>L67&lt;0</formula>
    </cfRule>
  </conditionalFormatting>
  <dataValidations count="20">
    <dataValidation type="whole" allowBlank="1" showInputMessage="1" showErrorMessage="1" error="Must be a negative number no less than a 50% of the base hits" sqref="B11" xr:uid="{28CD849D-12B9-41F4-9E01-E643C80D93D8}">
      <formula1>-J4/2</formula1>
      <formula2>0</formula2>
    </dataValidation>
    <dataValidation type="whole" allowBlank="1" showInputMessage="1" showErrorMessage="1" error="Must be whole number. No more than 50% of slots may be used for Resiliency" sqref="B10" xr:uid="{8F57FD92-2A1D-479F-82C2-6F213DE5DD73}">
      <formula1>0</formula1>
      <formula2>E4/2</formula2>
    </dataValidation>
    <dataValidation type="whole" allowBlank="1" showInputMessage="1" showErrorMessage="1" sqref="E11" xr:uid="{E3249B1C-E3DA-4B5F-9A5C-301CC9CEA981}">
      <formula1>0</formula1>
      <formula2>J4/2</formula2>
    </dataValidation>
    <dataValidation type="list" allowBlank="1" showInputMessage="1" showErrorMessage="1" error="Maximum = 3" sqref="B9" xr:uid="{7270BA30-BF1C-4729-A1AC-FAFCC916A63A}">
      <formula1>"0,1,2,3"</formula1>
    </dataValidation>
    <dataValidation type="list" allowBlank="1" showInputMessage="1" showErrorMessage="1" sqref="B4" xr:uid="{C95213B6-BB80-40CA-AAD4-A6834DE3A8E4}">
      <formula1>"0,1,2,3,4,5,6,7,8"</formula1>
    </dataValidation>
    <dataValidation type="list" allowBlank="1" showInputMessage="1" showErrorMessage="1" sqref="O2" xr:uid="{34326BA1-6BC3-49EE-B61E-0D418A13AB5D}">
      <formula1>"7,8,9,10,11,12,13,14,15,16,17,18"</formula1>
    </dataValidation>
    <dataValidation type="whole" allowBlank="1" showInputMessage="1" showErrorMessage="1" error="Max Manipulator Size = Chassis Size +2_x000a_Min Manipulator Size = 0_x000a_Whole Numbers Only" sqref="B19:B26" xr:uid="{12D9A009-B2EF-4590-94B3-6D58BDF69D6C}">
      <formula1>0</formula1>
      <formula2>$B$4+2</formula2>
    </dataValidation>
    <dataValidation type="list" allowBlank="1" showInputMessage="1" showErrorMessage="1" sqref="B27:B28 B67 B8" xr:uid="{7A2033C2-87B7-4343-AD42-0C36B967ABDE}">
      <formula1>"TRUE,FALSE"</formula1>
    </dataValidation>
    <dataValidation type="list" allowBlank="1" showInputMessage="1" showErrorMessage="1" sqref="B13" xr:uid="{A9351403-B2F7-4A5A-9C3F-F8668BF44040}">
      <formula1>"0,1,2,3,4"</formula1>
    </dataValidation>
    <dataValidation type="list" allowBlank="1" showInputMessage="1" showErrorMessage="1" sqref="D73:D90 B66" xr:uid="{D99504FD-E342-4053-B50A-F8D0EAC863B6}">
      <formula1>"0,1,2,3"</formula1>
    </dataValidation>
    <dataValidation type="list" allowBlank="1" showInputMessage="1" showErrorMessage="1" sqref="B15" xr:uid="{F456C1E8-6FF4-461D-9E0E-3F307D71F584}">
      <formula1>"FALSE,TRUE"</formula1>
    </dataValidation>
    <dataValidation type="list" allowBlank="1" showInputMessage="1" showErrorMessage="1" sqref="B16" xr:uid="{8DA71635-632F-4AC3-929A-6FA9EB6C8847}">
      <formula1>"No,1X,2X,3X"</formula1>
    </dataValidation>
    <dataValidation type="whole" allowBlank="1" showInputMessage="1" showErrorMessage="1" error="Must be whole number between -6 and +12" sqref="B14" xr:uid="{1B550C4F-5E40-45A8-8DC3-FE49AE2DF806}">
      <formula1>-6</formula1>
      <formula2>12</formula2>
    </dataValidation>
    <dataValidation type="whole" allowBlank="1" showInputMessage="1" showErrorMessage="1" sqref="C11:D11" xr:uid="{21BD0F05-0155-4B01-925D-79247DFD3C59}">
      <formula1>0</formula1>
      <formula2>D4/2</formula2>
    </dataValidation>
    <dataValidation type="whole" allowBlank="1" showInputMessage="1" showErrorMessage="1" sqref="C13:D13" xr:uid="{BCE78E09-B662-413D-BE20-C510E9B1FF64}">
      <formula1>0</formula1>
      <formula2>D5/2</formula2>
    </dataValidation>
    <dataValidation type="whole" allowBlank="1" showInputMessage="1" showErrorMessage="1" sqref="C14:D14" xr:uid="{1609BC87-4582-44EB-A388-E31536DEB047}">
      <formula1>0</formula1>
      <formula2>D15/2</formula2>
    </dataValidation>
    <dataValidation type="whole" allowBlank="1" showInputMessage="1" showErrorMessage="1" sqref="E13:E14" xr:uid="{80539FA0-F7DD-4EE4-A405-46A13B47CFF8}">
      <formula1>0</formula1>
      <formula2>#REF!/2</formula2>
    </dataValidation>
    <dataValidation type="whole" allowBlank="1" showInputMessage="1" showErrorMessage="1" error="Max STR = Lesser of Size + TL or SIZE X 4" sqref="G19:G28" xr:uid="{D62F2CEC-C9CE-42CF-9A76-4B791A955415}">
      <formula1>0</formula1>
      <formula2>F19-C19</formula2>
    </dataValidation>
    <dataValidation type="whole" allowBlank="1" showInputMessage="1" showErrorMessage="1" error="Max DEX = TL+3" sqref="K19:K28" xr:uid="{D589CB21-B166-4DCF-BE4D-DCD20456AF34}">
      <formula1>0</formula1>
      <formula2>J19-D19</formula2>
    </dataValidation>
    <dataValidation type="whole" allowBlank="1" showInputMessage="1" showErrorMessage="1" error="Total Armour cannot exceed Maximum" sqref="B7" xr:uid="{1F6743A9-C68E-4AF6-BD6F-2B2D1633863C}">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D6DF1E2-A2BD-4A43-BD13-F3C2A9E6D302}">
          <x14:formula1>
            <xm:f>Options!$C$9:$C$71</xm:f>
          </x14:formula1>
          <xm:sqref>A30:A34</xm:sqref>
        </x14:dataValidation>
        <x14:dataValidation type="list" allowBlank="1" showInputMessage="1" showErrorMessage="1" xr:uid="{92766C09-32E8-46F2-B0E1-8A05CB70F3DE}">
          <x14:formula1>
            <xm:f>Packages!$B$29:$B$82</xm:f>
          </x14:formula1>
          <xm:sqref>A73:A90</xm:sqref>
        </x14:dataValidation>
        <x14:dataValidation type="list" allowBlank="1" showInputMessage="1" showErrorMessage="1" xr:uid="{59240DDF-4414-4756-8982-164B38575B47}">
          <x14:formula1>
            <xm:f>Chassis!$H$3:$H$13</xm:f>
          </x14:formula1>
          <xm:sqref>B17 B5</xm:sqref>
        </x14:dataValidation>
        <x14:dataValidation type="list" allowBlank="1" showInputMessage="1" showErrorMessage="1" xr:uid="{1984C7FA-F6E1-4766-9C53-FA097951ED5C}">
          <x14:formula1>
            <xm:f>Packages!$B$11:$B$19</xm:f>
          </x14:formula1>
          <xm:sqref>B70</xm:sqref>
        </x14:dataValidation>
        <x14:dataValidation type="list" allowBlank="1" showInputMessage="1" showErrorMessage="1" xr:uid="{B67F21A1-BB1E-4A5D-BB81-F7AA7027A4E7}">
          <x14:formula1>
            <xm:f>Brains!$B$3:$B$19</xm:f>
          </x14:formula1>
          <xm:sqref>B64</xm:sqref>
        </x14:dataValidation>
        <x14:dataValidation type="list" allowBlank="1" showInputMessage="1" showErrorMessage="1" xr:uid="{8D32798C-F1A7-4325-B457-16EBBB07FC69}">
          <x14:formula1>
            <xm:f>Packages!$B$3:$B$7</xm:f>
          </x14:formula1>
          <xm:sqref>B69</xm:sqref>
        </x14:dataValidation>
        <x14:dataValidation type="list" allowBlank="1" showInputMessage="1" showErrorMessage="1" xr:uid="{3944BE26-E498-4BEA-B1C3-7E26DF0E431C}">
          <x14:formula1>
            <xm:f>Packages!$B$23:$B$25</xm:f>
          </x14:formula1>
          <xm:sqref>B71</xm:sqref>
        </x14:dataValidation>
        <x14:dataValidation type="list" allowBlank="1" showInputMessage="1" showErrorMessage="1" xr:uid="{35648F78-8232-4696-A66C-7C4D8F05C87D}">
          <x14:formula1>
            <xm:f>Brains!$K$3:$K$16</xm:f>
          </x14:formula1>
          <xm:sqref>B65</xm:sqref>
        </x14:dataValidation>
        <x14:dataValidation type="list" allowBlank="1" showInputMessage="1" showErrorMessage="1" xr:uid="{D4C94BEF-5F52-46AD-9641-12300FEFFC79}">
          <x14:formula1>
            <xm:f>Options!$C$9:$C$256</xm:f>
          </x14:formula1>
          <xm:sqref>A36:A56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DBA36-F483-49A0-AD49-E21D2DBB35BA}">
  <sheetPr>
    <tabColor rgb="FF92D050"/>
  </sheetPr>
  <dimension ref="A1:Z94"/>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832</v>
      </c>
      <c r="C2" s="204"/>
      <c r="D2" s="205"/>
      <c r="E2" s="36">
        <f>SUM(E5:E90)+E4</f>
        <v>0</v>
      </c>
      <c r="F2" s="206" t="s">
        <v>184</v>
      </c>
      <c r="G2" s="207"/>
      <c r="H2" s="208"/>
      <c r="I2" s="203" t="s">
        <v>776</v>
      </c>
      <c r="J2" s="204"/>
      <c r="K2" s="204"/>
      <c r="L2" s="204"/>
      <c r="M2" s="204"/>
      <c r="N2" s="79" t="s">
        <v>315</v>
      </c>
      <c r="O2" s="37">
        <v>15</v>
      </c>
      <c r="P2" s="151">
        <f>Z6</f>
        <v>376200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23</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Advanced Emergency AutoBerth</v>
      </c>
      <c r="S6" s="144">
        <f>M11</f>
        <v>72</v>
      </c>
      <c r="T6" s="144" t="str">
        <f>B5</f>
        <v>None</v>
      </c>
      <c r="U6" s="144" t="str">
        <f>_xlfn.CONCAT(J14," m")</f>
        <v>0 m</v>
      </c>
      <c r="V6" s="145">
        <f>O2</f>
        <v>15</v>
      </c>
      <c r="W6" s="150">
        <f>P91</f>
        <v>418100</v>
      </c>
      <c r="X6" s="152">
        <f>IF(I2="Standard Design",0.1,0)</f>
        <v>0.1</v>
      </c>
      <c r="Y6" s="153">
        <v>2</v>
      </c>
      <c r="Z6" s="148">
        <f>FLOOR(P91*(1-X6),100)</f>
        <v>376200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4,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864</v>
      </c>
      <c r="K9" s="177" t="s">
        <v>64</v>
      </c>
      <c r="L9" s="178"/>
      <c r="M9" s="179"/>
      <c r="O9" s="5" t="str">
        <f>IF(B9&gt;0,_xlfn.CONCAT("Athletics (endurance) ",B9,", "),"")</f>
        <v/>
      </c>
      <c r="P9" s="137">
        <f>-500*E9</f>
        <v>0</v>
      </c>
      <c r="R9" s="116" t="s">
        <v>49</v>
      </c>
      <c r="S9" s="162" t="str">
        <f>IF(COUNT(B19:B26)=0,"none",_xlfn.CONCAT(COUNT(B19:B26), " X (STR ",H19," DEX ",L19,")"))</f>
        <v>5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864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Vacuum Environment Protection,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864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18</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9</v>
      </c>
      <c r="E20" s="101" cm="1">
        <f t="array" ref="E20">ROUNDUP(_xlfn.IFS($B$4-B20=0,0,$B$4-B20=1,$E$4*0.05,$B$4-B20=2,$E$4*0.08,$B$4-B20=3,$E$4*0.09,$B$4-B20&gt;3,$E$4*0.1,$B$4-B20&lt;0,$E$4*0.1*($B$4-B20)),0)</f>
        <v>13</v>
      </c>
      <c r="F20" s="54">
        <f t="shared" si="1"/>
        <v>10</v>
      </c>
      <c r="G20" s="16"/>
      <c r="H20" s="6">
        <f t="shared" si="2"/>
        <v>5</v>
      </c>
      <c r="I20" s="21">
        <f t="shared" si="3"/>
        <v>-1</v>
      </c>
      <c r="J20" s="54">
        <f t="shared" si="4"/>
        <v>18</v>
      </c>
      <c r="K20" s="16"/>
      <c r="L20" s="6">
        <f t="shared" si="5"/>
        <v>9</v>
      </c>
      <c r="M20" s="21">
        <f t="shared" si="6"/>
        <v>1</v>
      </c>
      <c r="O20" s="5" t="str">
        <f t="shared" si="7"/>
        <v/>
      </c>
      <c r="P20" s="137">
        <f>IF((B20-$B$4)*100&gt;-0.2*$P$5,(B20-$B$4)*100,-0.2*$P$5)+B20*100*(G20)^2+B20*200*(K20)^2</f>
        <v>-500</v>
      </c>
      <c r="R20" s="232" t="s">
        <v>862</v>
      </c>
      <c r="S20" s="189"/>
      <c r="T20" s="189"/>
      <c r="U20" s="189"/>
      <c r="V20" s="189"/>
      <c r="W20" s="189"/>
      <c r="X20" s="189"/>
      <c r="Y20" s="189"/>
      <c r="Z20" s="190"/>
    </row>
    <row r="21" spans="1:26" ht="12" customHeight="1" x14ac:dyDescent="0.35">
      <c r="A21" s="93" t="s">
        <v>52</v>
      </c>
      <c r="B21" s="30">
        <v>3</v>
      </c>
      <c r="C21" s="6">
        <f t="shared" si="0"/>
        <v>5</v>
      </c>
      <c r="D21" s="97">
        <f t="shared" si="8"/>
        <v>9</v>
      </c>
      <c r="E21" s="101" cm="1">
        <f t="array" ref="E21">IF(B21=0,0,ROUNDUP(_xlfn.IFS($B$4-B21=0,-$E$4*0.1,$B$4-B21=1,-$E$4*0.05,$B$4-B21=2,-$E$4*0.02,$B$4-B21=3,-$E$4*0.01,$B$4-B21&gt;3,-$E$4*0.01,$B$4-B21&lt;0,$E$4*0.2*($B$4-B21)),0))</f>
        <v>-2</v>
      </c>
      <c r="F21" s="54">
        <f t="shared" si="1"/>
        <v>10</v>
      </c>
      <c r="G21" s="16"/>
      <c r="H21" s="6">
        <f t="shared" si="2"/>
        <v>5</v>
      </c>
      <c r="I21" s="21">
        <f t="shared" si="3"/>
        <v>-1</v>
      </c>
      <c r="J21" s="54">
        <f t="shared" si="4"/>
        <v>18</v>
      </c>
      <c r="K21" s="16"/>
      <c r="L21" s="6">
        <f t="shared" si="5"/>
        <v>9</v>
      </c>
      <c r="M21" s="21">
        <f t="shared" si="6"/>
        <v>1</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9</v>
      </c>
      <c r="E22" s="101" cm="1">
        <f t="array" ref="E22">IF(B22=0,0,ROUNDUP(_xlfn.IFS($B$4-B22=0,-$E$4*0.1,$B$4-B22=1,-$E$4*0.05,$B$4-B22=2,-$E$4*0.02,$B$4-B22=3,-$E$4*0.01,$B$4-B22&gt;3,-$E$4*0.01,$B$4-B22&lt;0,$E$4*0.2*($B$4-B22)),0))</f>
        <v>-2</v>
      </c>
      <c r="F22" s="54">
        <f t="shared" si="1"/>
        <v>10</v>
      </c>
      <c r="G22" s="16"/>
      <c r="H22" s="6">
        <f t="shared" si="2"/>
        <v>5</v>
      </c>
      <c r="I22" s="21">
        <f t="shared" si="3"/>
        <v>-1</v>
      </c>
      <c r="J22" s="54">
        <f t="shared" si="4"/>
        <v>18</v>
      </c>
      <c r="K22" s="16"/>
      <c r="L22" s="6">
        <f t="shared" si="5"/>
        <v>9</v>
      </c>
      <c r="M22" s="21">
        <f t="shared" si="6"/>
        <v>1</v>
      </c>
      <c r="O22" s="5" t="str">
        <f t="shared" si="7"/>
        <v/>
      </c>
      <c r="P22" s="137">
        <f t="shared" si="9"/>
        <v>300</v>
      </c>
      <c r="R22" s="191"/>
      <c r="S22" s="192"/>
      <c r="T22" s="192"/>
      <c r="U22" s="192"/>
      <c r="V22" s="192"/>
      <c r="W22" s="192"/>
      <c r="X22" s="192"/>
      <c r="Y22" s="192"/>
      <c r="Z22" s="193"/>
    </row>
    <row r="23" spans="1:26" ht="12" customHeight="1" x14ac:dyDescent="0.35">
      <c r="A23" s="93" t="s">
        <v>54</v>
      </c>
      <c r="B23" s="30">
        <v>3</v>
      </c>
      <c r="C23" s="6">
        <f t="shared" si="0"/>
        <v>5</v>
      </c>
      <c r="D23" s="97">
        <f t="shared" si="8"/>
        <v>9</v>
      </c>
      <c r="E23" s="101" cm="1">
        <f t="array" ref="E23">IF(B23=0,0,ROUNDUP(_xlfn.IFS($B$4-B23=0,-$E$4*0.1,$B$4-B23=1,-$E$4*0.05,$B$4-B23=2,-$E$4*0.02,$B$4-B23=3,-$E$4*0.01,$B$4-B23&gt;3,-$E$4*0.01,$B$4-B23&lt;0,$E$4*0.2*($B$4-B23)),0))</f>
        <v>-2</v>
      </c>
      <c r="F23" s="54">
        <f t="shared" si="1"/>
        <v>10</v>
      </c>
      <c r="G23" s="16"/>
      <c r="H23" s="6">
        <f t="shared" si="2"/>
        <v>5</v>
      </c>
      <c r="I23" s="21">
        <f t="shared" si="3"/>
        <v>-1</v>
      </c>
      <c r="J23" s="54">
        <f t="shared" si="4"/>
        <v>18</v>
      </c>
      <c r="K23" s="16"/>
      <c r="L23" s="6">
        <f t="shared" si="5"/>
        <v>9</v>
      </c>
      <c r="M23" s="21">
        <f t="shared" si="6"/>
        <v>1</v>
      </c>
      <c r="O23" s="5" t="str">
        <f t="shared" si="7"/>
        <v/>
      </c>
      <c r="P23" s="137">
        <f t="shared" si="9"/>
        <v>300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18</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18</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18</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18</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18</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-160</v>
      </c>
      <c r="F37" s="38">
        <f>IF(_xlfn.XLOOKUP(A37,OptionsTable[Name],OptionsTable[xS],,,)=FALSE,1,IF($B$4&gt;0,$E$4,1))</f>
        <v>1</v>
      </c>
      <c r="G37" s="58">
        <v>160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32000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-9</v>
      </c>
      <c r="F40" s="38">
        <f>IF(_xlfn.XLOOKUP(A40,OptionsTable[Name],OptionsTable[xS],,,)=FALSE,1,IF($B$4&gt;0,$E$4,1))</f>
        <v>1</v>
      </c>
      <c r="G40" s="58">
        <v>9</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900</v>
      </c>
      <c r="R40" s="191"/>
      <c r="S40" s="192"/>
      <c r="T40" s="192"/>
      <c r="U40" s="192"/>
      <c r="V40" s="192"/>
      <c r="W40" s="192"/>
      <c r="X40" s="192"/>
      <c r="Y40" s="192"/>
      <c r="Z40" s="193"/>
    </row>
    <row r="41" spans="1:26" ht="12" customHeight="1" x14ac:dyDescent="0.35">
      <c r="A41" s="197" t="s">
        <v>100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128</v>
      </c>
      <c r="G41" s="58"/>
      <c r="H41" s="199" t="str">
        <f>IF(_xlfn.XLOOKUP(A41,OptionsTable[Name],OptionsTable[Notes],,,)="","",_xlfn.XLOOKUP(A41,OptionsTable[Name],OptionsTable[Notes],,,))</f>
        <v>+ Hostile env</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76800</v>
      </c>
      <c r="R41" s="191"/>
      <c r="S41" s="192"/>
      <c r="T41" s="192"/>
      <c r="U41" s="192"/>
      <c r="V41" s="192"/>
      <c r="W41" s="192"/>
      <c r="X41" s="192"/>
      <c r="Y41" s="192"/>
      <c r="Z41" s="193"/>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81</v>
      </c>
      <c r="C64" s="227"/>
      <c r="D64" s="227"/>
      <c r="E64" s="40">
        <f>IF(L64+K64-O2&gt;B4,-1,0)</f>
        <v>0</v>
      </c>
      <c r="F64" s="38"/>
      <c r="H64" s="1">
        <f>_xlfn.XLOOKUP(B64,Brains[Programming/Control],Brains[Base INT],,,)</f>
        <v>9</v>
      </c>
      <c r="I64" s="31">
        <f>IF(H64&gt;17,4,IF(H64&gt;14,3,IF(H64&gt;11,2,IF(H64&gt;8,1,IF(H64&gt;5,0,IF(H64&gt;2,-1,-2))))))</f>
        <v>1</v>
      </c>
      <c r="J64" s="1">
        <f>_xlfn.XLOOKUP(B64,Brains[Programming/Control],Brains[Computer/X],,,)</f>
        <v>3</v>
      </c>
      <c r="K64" s="44">
        <f>_xlfn.XLOOKUP(B64,Brains[Programming/Control],Brains[TL],,,)</f>
        <v>12</v>
      </c>
      <c r="L64">
        <f>_xlfn.XLOOKUP(B64,Brains[Programming/Control],Brains[Computer/X],,,)</f>
        <v>3</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62500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3</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9</v>
      </c>
      <c r="I66" s="15">
        <f>IF(H66&gt;17,4,IF(H66&gt;14,3,IF(H66&gt;11,2,IF(H66&gt;8,1,IF(H66&gt;5,0,IF(H66&gt;2,-1,-2))))))</f>
        <v>1</v>
      </c>
      <c r="K66" s="44"/>
      <c r="L66" s="56">
        <f>L65+F66</f>
        <v>3</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3</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4,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418100</v>
      </c>
    </row>
    <row r="92" spans="1:16" ht="12" customHeight="1" thickBot="1" x14ac:dyDescent="0.45">
      <c r="B92" s="110"/>
      <c r="O92" s="149" t="str">
        <f>CONCATENATE("Cost With "&amp;X6*100 &amp; "% Discount")</f>
        <v>Cost With 10% Discount</v>
      </c>
      <c r="P92" s="147">
        <f>P2</f>
        <v>376200</v>
      </c>
    </row>
    <row r="93" spans="1:16" ht="12" customHeight="1" x14ac:dyDescent="0.4">
      <c r="B93" s="111"/>
    </row>
    <row r="94" spans="1:16" ht="12" customHeight="1" x14ac:dyDescent="0.35">
      <c r="A94" s="110"/>
      <c r="B94" s="112"/>
    </row>
  </sheetData>
  <dataConsolidate/>
  <mergeCells count="113">
    <mergeCell ref="B2:D2"/>
    <mergeCell ref="F2:H2"/>
    <mergeCell ref="I2:M2"/>
    <mergeCell ref="G3:J3"/>
    <mergeCell ref="G4:I4"/>
    <mergeCell ref="K4:L4"/>
    <mergeCell ref="G12:O12"/>
    <mergeCell ref="B29:D29"/>
    <mergeCell ref="H29:J29"/>
    <mergeCell ref="G10:H10"/>
    <mergeCell ref="K10:M10"/>
    <mergeCell ref="G11:H11"/>
    <mergeCell ref="K11:L11"/>
    <mergeCell ref="G5:I5"/>
    <mergeCell ref="H6:N6"/>
    <mergeCell ref="G7:I7"/>
    <mergeCell ref="G8:I8"/>
    <mergeCell ref="K8:M8"/>
    <mergeCell ref="G9:I9"/>
    <mergeCell ref="K9:M9"/>
    <mergeCell ref="A30:D30"/>
    <mergeCell ref="H30:J30"/>
    <mergeCell ref="A31:D31"/>
    <mergeCell ref="H31:J31"/>
    <mergeCell ref="A32:D32"/>
    <mergeCell ref="H32:J32"/>
    <mergeCell ref="A44:D44"/>
    <mergeCell ref="H44:J44"/>
    <mergeCell ref="A45:D45"/>
    <mergeCell ref="H45:J45"/>
    <mergeCell ref="A37:D37"/>
    <mergeCell ref="H37:J37"/>
    <mergeCell ref="A38:D38"/>
    <mergeCell ref="H38:J38"/>
    <mergeCell ref="A39:D39"/>
    <mergeCell ref="H39:J39"/>
    <mergeCell ref="A33:D33"/>
    <mergeCell ref="H33:J33"/>
    <mergeCell ref="A34:D34"/>
    <mergeCell ref="H34:J34"/>
    <mergeCell ref="H35:J35"/>
    <mergeCell ref="A36:D36"/>
    <mergeCell ref="H36:J36"/>
    <mergeCell ref="A46:D46"/>
    <mergeCell ref="H46:J46"/>
    <mergeCell ref="A40:D40"/>
    <mergeCell ref="H40:J40"/>
    <mergeCell ref="H41:J41"/>
    <mergeCell ref="H42:J42"/>
    <mergeCell ref="A43:D43"/>
    <mergeCell ref="H43:J43"/>
    <mergeCell ref="A41:D41"/>
    <mergeCell ref="A42:D42"/>
    <mergeCell ref="A50:D50"/>
    <mergeCell ref="H50:J50"/>
    <mergeCell ref="A51:D51"/>
    <mergeCell ref="H51:J51"/>
    <mergeCell ref="A52:D52"/>
    <mergeCell ref="H52:J52"/>
    <mergeCell ref="A47:D47"/>
    <mergeCell ref="H47:J47"/>
    <mergeCell ref="A48:D48"/>
    <mergeCell ref="H48:J48"/>
    <mergeCell ref="A49:D49"/>
    <mergeCell ref="H49:J49"/>
    <mergeCell ref="A56:D56"/>
    <mergeCell ref="H56:J56"/>
    <mergeCell ref="A57:D57"/>
    <mergeCell ref="H57:J57"/>
    <mergeCell ref="A59:D59"/>
    <mergeCell ref="H59:I59"/>
    <mergeCell ref="A53:D53"/>
    <mergeCell ref="H53:J53"/>
    <mergeCell ref="A54:D54"/>
    <mergeCell ref="H54:J54"/>
    <mergeCell ref="A55:D55"/>
    <mergeCell ref="H55:J55"/>
    <mergeCell ref="B69:D69"/>
    <mergeCell ref="B70:D70"/>
    <mergeCell ref="B71:D71"/>
    <mergeCell ref="B73:C73"/>
    <mergeCell ref="B74:C74"/>
    <mergeCell ref="B75:C75"/>
    <mergeCell ref="A60:D60"/>
    <mergeCell ref="H60:I60"/>
    <mergeCell ref="A61:D61"/>
    <mergeCell ref="H61:I61"/>
    <mergeCell ref="B64:D64"/>
    <mergeCell ref="B65:D65"/>
    <mergeCell ref="R20:Z75"/>
    <mergeCell ref="S11:Z11"/>
    <mergeCell ref="S12:Z12"/>
    <mergeCell ref="S13:Z17"/>
    <mergeCell ref="B88:C88"/>
    <mergeCell ref="B89:C89"/>
    <mergeCell ref="B90:C90"/>
    <mergeCell ref="R13:R17"/>
    <mergeCell ref="S7:Z7"/>
    <mergeCell ref="S8:Z8"/>
    <mergeCell ref="S9:Z9"/>
    <mergeCell ref="S10:Z10"/>
    <mergeCell ref="B82:C82"/>
    <mergeCell ref="B83:C83"/>
    <mergeCell ref="B84:C84"/>
    <mergeCell ref="B85:C85"/>
    <mergeCell ref="B86:C86"/>
    <mergeCell ref="B87:C87"/>
    <mergeCell ref="B76:C76"/>
    <mergeCell ref="B77:C77"/>
    <mergeCell ref="B78:C78"/>
    <mergeCell ref="B79:C79"/>
    <mergeCell ref="B80:C80"/>
    <mergeCell ref="B81:C81"/>
  </mergeCells>
  <conditionalFormatting sqref="B14">
    <cfRule type="expression" dxfId="41" priority="7">
      <formula>ABS($J$14-6) &gt; 6</formula>
    </cfRule>
  </conditionalFormatting>
  <conditionalFormatting sqref="E2">
    <cfRule type="expression" dxfId="40" priority="5">
      <formula>$E$2&lt;0</formula>
    </cfRule>
  </conditionalFormatting>
  <conditionalFormatting sqref="E15:E17">
    <cfRule type="expression" dxfId="39" priority="1">
      <formula>AND($B$4=0,E15&lt;0)</formula>
    </cfRule>
  </conditionalFormatting>
  <conditionalFormatting sqref="K5 K30:K34 K36:K57 K59:K61 K64:K67 K73:K90">
    <cfRule type="expression" dxfId="38" priority="6">
      <formula>K5&gt;$O$2</formula>
    </cfRule>
  </conditionalFormatting>
  <conditionalFormatting sqref="L57">
    <cfRule type="expression" dxfId="37" priority="2">
      <formula>L57&gt;$O$2</formula>
    </cfRule>
  </conditionalFormatting>
  <conditionalFormatting sqref="L67">
    <cfRule type="expression" dxfId="36" priority="4">
      <formula>L67&lt;0</formula>
    </cfRule>
  </conditionalFormatting>
  <dataValidations count="20">
    <dataValidation type="whole" allowBlank="1" showInputMessage="1" showErrorMessage="1" error="Total Armour cannot exceed Maximum" sqref="B7" xr:uid="{2A40905C-FB5F-49B1-A83C-BA1C2044E64B}">
      <formula1>-1</formula1>
      <formula2>L7-MID(A7,18,1)</formula2>
    </dataValidation>
    <dataValidation type="whole" allowBlank="1" showInputMessage="1" showErrorMessage="1" error="Max DEX = TL+3" sqref="K19:K28" xr:uid="{74C2B8DC-CD55-47DE-80AA-178F57E5C85A}">
      <formula1>0</formula1>
      <formula2>J19-D19</formula2>
    </dataValidation>
    <dataValidation type="whole" allowBlank="1" showInputMessage="1" showErrorMessage="1" error="Max STR = Lesser of Size + TL or SIZE X 4" sqref="G19:G28" xr:uid="{791313D0-186E-438C-AB14-A317C9CD11CC}">
      <formula1>0</formula1>
      <formula2>F19-C19</formula2>
    </dataValidation>
    <dataValidation type="whole" allowBlank="1" showInputMessage="1" showErrorMessage="1" sqref="E13:E14" xr:uid="{94B0B7B1-B981-4A2A-B38E-08F477DE1E21}">
      <formula1>0</formula1>
      <formula2>#REF!/2</formula2>
    </dataValidation>
    <dataValidation type="whole" allowBlank="1" showInputMessage="1" showErrorMessage="1" sqref="C14:D14" xr:uid="{900B1222-A7B9-4278-9AAD-0E7F6D61DB0B}">
      <formula1>0</formula1>
      <formula2>D15/2</formula2>
    </dataValidation>
    <dataValidation type="whole" allowBlank="1" showInputMessage="1" showErrorMessage="1" sqref="C13:D13" xr:uid="{CAF55DA8-B3E7-4CF6-97C4-6FB479E719D7}">
      <formula1>0</formula1>
      <formula2>D5/2</formula2>
    </dataValidation>
    <dataValidation type="whole" allowBlank="1" showInputMessage="1" showErrorMessage="1" sqref="C11:D11" xr:uid="{63DFA73C-396A-4AC1-BD3C-2F36E281D242}">
      <formula1>0</formula1>
      <formula2>D4/2</formula2>
    </dataValidation>
    <dataValidation type="whole" allowBlank="1" showInputMessage="1" showErrorMessage="1" error="Must be whole number between -6 and +12" sqref="B14" xr:uid="{ED1B930D-131A-46EA-881B-777956806DF5}">
      <formula1>-6</formula1>
      <formula2>12</formula2>
    </dataValidation>
    <dataValidation type="list" allowBlank="1" showInputMessage="1" showErrorMessage="1" sqref="B16" xr:uid="{BE327DBC-5894-48E2-B49D-13F7BFF975FE}">
      <formula1>"No,1X,2X,3X"</formula1>
    </dataValidation>
    <dataValidation type="list" allowBlank="1" showInputMessage="1" showErrorMessage="1" sqref="B15" xr:uid="{C1306496-C63E-48C1-AAC2-9F1D99BEAFB5}">
      <formula1>"FALSE,TRUE"</formula1>
    </dataValidation>
    <dataValidation type="list" allowBlank="1" showInputMessage="1" showErrorMessage="1" sqref="D73:D90 B66" xr:uid="{AB1945AB-A265-47A2-9CE4-678BD5DFBA90}">
      <formula1>"0,1,2,3"</formula1>
    </dataValidation>
    <dataValidation type="list" allowBlank="1" showInputMessage="1" showErrorMessage="1" sqref="B13" xr:uid="{592C0F78-8E8E-4DD3-807E-37F980ED13EC}">
      <formula1>"0,1,2,3,4"</formula1>
    </dataValidation>
    <dataValidation type="list" allowBlank="1" showInputMessage="1" showErrorMessage="1" sqref="B27:B28 B67 B8" xr:uid="{51B32B1A-C2AB-4ECA-AC64-5BA95163FFBB}">
      <formula1>"TRUE,FALSE"</formula1>
    </dataValidation>
    <dataValidation type="whole" allowBlank="1" showInputMessage="1" showErrorMessage="1" error="Max Manipulator Size = Chassis Size +2_x000a_Min Manipulator Size = 0_x000a_Whole Numbers Only" sqref="B19:B26" xr:uid="{3E57B1F1-8D4A-4347-8A32-C4CDFB36AD53}">
      <formula1>0</formula1>
      <formula2>$B$4+2</formula2>
    </dataValidation>
    <dataValidation type="list" allowBlank="1" showInputMessage="1" showErrorMessage="1" sqref="O2" xr:uid="{753E1020-1DC9-4CFF-9917-F278BFD237F4}">
      <formula1>"7,8,9,10,11,12,13,14,15,16,17,18"</formula1>
    </dataValidation>
    <dataValidation type="list" allowBlank="1" showInputMessage="1" showErrorMessage="1" sqref="B4" xr:uid="{5263E666-57E8-45B7-8226-9D40B331A661}">
      <formula1>"0,1,2,3,4,5,6,7,8"</formula1>
    </dataValidation>
    <dataValidation type="list" allowBlank="1" showInputMessage="1" showErrorMessage="1" error="Maximum = 3" sqref="B9" xr:uid="{9E24D7DC-04A0-40B0-A1E3-94B85992C849}">
      <formula1>"0,1,2,3"</formula1>
    </dataValidation>
    <dataValidation type="whole" allowBlank="1" showInputMessage="1" showErrorMessage="1" sqref="E11" xr:uid="{F7085F95-0FB6-4A21-98AC-C28437B050F4}">
      <formula1>0</formula1>
      <formula2>J4/2</formula2>
    </dataValidation>
    <dataValidation type="whole" allowBlank="1" showInputMessage="1" showErrorMessage="1" error="Must be whole number. No more than 50% of slots may be used for Resiliency" sqref="B10" xr:uid="{D433F6B9-9BC0-4F00-BE61-7D5E6D61B501}">
      <formula1>0</formula1>
      <formula2>E4/2</formula2>
    </dataValidation>
    <dataValidation type="whole" allowBlank="1" showInputMessage="1" showErrorMessage="1" error="Must be a negative number no less than a 50% of the base hits" sqref="B11" xr:uid="{160DC7CF-E392-4BB4-861E-7B6475C033F5}">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B18FB6FE-751A-4936-B064-B08FF324092F}">
          <x14:formula1>
            <xm:f>Brains!$K$3:$K$16</xm:f>
          </x14:formula1>
          <xm:sqref>B65</xm:sqref>
        </x14:dataValidation>
        <x14:dataValidation type="list" allowBlank="1" showInputMessage="1" showErrorMessage="1" xr:uid="{7C9B0B4C-4416-4D9E-9754-2D8DA71052F2}">
          <x14:formula1>
            <xm:f>Packages!$B$23:$B$25</xm:f>
          </x14:formula1>
          <xm:sqref>B71</xm:sqref>
        </x14:dataValidation>
        <x14:dataValidation type="list" allowBlank="1" showInputMessage="1" showErrorMessage="1" xr:uid="{3A612311-AACD-4D62-8668-55287EA52389}">
          <x14:formula1>
            <xm:f>Packages!$B$3:$B$7</xm:f>
          </x14:formula1>
          <xm:sqref>B69</xm:sqref>
        </x14:dataValidation>
        <x14:dataValidation type="list" allowBlank="1" showInputMessage="1" showErrorMessage="1" xr:uid="{8EFE22E9-8239-425A-8AD3-346BD83D399F}">
          <x14:formula1>
            <xm:f>Brains!$B$3:$B$19</xm:f>
          </x14:formula1>
          <xm:sqref>B64</xm:sqref>
        </x14:dataValidation>
        <x14:dataValidation type="list" allowBlank="1" showInputMessage="1" showErrorMessage="1" xr:uid="{3122CC31-18D8-41EF-BD5F-B965AFBED001}">
          <x14:formula1>
            <xm:f>Packages!$B$11:$B$19</xm:f>
          </x14:formula1>
          <xm:sqref>B70</xm:sqref>
        </x14:dataValidation>
        <x14:dataValidation type="list" allowBlank="1" showInputMessage="1" showErrorMessage="1" xr:uid="{C3C4A2CB-0756-4CF3-86F5-5194501BC902}">
          <x14:formula1>
            <xm:f>Chassis!$H$3:$H$13</xm:f>
          </x14:formula1>
          <xm:sqref>B17 B5</xm:sqref>
        </x14:dataValidation>
        <x14:dataValidation type="list" allowBlank="1" showInputMessage="1" showErrorMessage="1" xr:uid="{ED55EF75-11B9-41C3-A245-DB6ED2164D0C}">
          <x14:formula1>
            <xm:f>Packages!$B$29:$B$82</xm:f>
          </x14:formula1>
          <xm:sqref>A73:A90</xm:sqref>
        </x14:dataValidation>
        <x14:dataValidation type="list" allowBlank="1" showInputMessage="1" showErrorMessage="1" xr:uid="{36F2C893-3AE5-43BD-A12E-E81FDFEED73E}">
          <x14:formula1>
            <xm:f>Options!$C$9:$C$71</xm:f>
          </x14:formula1>
          <xm:sqref>A30:A34</xm:sqref>
        </x14:dataValidation>
        <x14:dataValidation type="list" allowBlank="1" showInputMessage="1" showErrorMessage="1" xr:uid="{53A0A743-FCC0-4717-82F1-1A6963161EEE}">
          <x14:formula1>
            <xm:f>Options!$C$9:$C$256</xm:f>
          </x14:formula1>
          <xm:sqref>A36:A56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69CD6-3F25-49DA-8A74-C8BDE94D8C3B}">
  <sheetPr>
    <tabColor rgb="FF92D050"/>
  </sheetPr>
  <dimension ref="A1:Z94"/>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833</v>
      </c>
      <c r="C2" s="204"/>
      <c r="D2" s="205"/>
      <c r="E2" s="36">
        <f>SUM(E5:E90)+E4</f>
        <v>0</v>
      </c>
      <c r="F2" s="206" t="s">
        <v>184</v>
      </c>
      <c r="G2" s="207"/>
      <c r="H2" s="208"/>
      <c r="I2" s="203" t="s">
        <v>776</v>
      </c>
      <c r="J2" s="204"/>
      <c r="K2" s="204"/>
      <c r="L2" s="204"/>
      <c r="M2" s="204"/>
      <c r="N2" s="79" t="s">
        <v>315</v>
      </c>
      <c r="O2" s="37">
        <v>16</v>
      </c>
      <c r="P2" s="151">
        <f>Z6</f>
        <v>454100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24</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Superior Emergency AutoBerth</v>
      </c>
      <c r="S6" s="144">
        <f>M11</f>
        <v>72</v>
      </c>
      <c r="T6" s="144" t="str">
        <f>B5</f>
        <v>None</v>
      </c>
      <c r="U6" s="144" t="str">
        <f>_xlfn.CONCAT(J14," m")</f>
        <v>0 m</v>
      </c>
      <c r="V6" s="145">
        <f>O2</f>
        <v>16</v>
      </c>
      <c r="W6" s="150">
        <f>P91</f>
        <v>504600</v>
      </c>
      <c r="X6" s="152">
        <f>IF(I2="Standard Design",0.1,0)</f>
        <v>0.1</v>
      </c>
      <c r="Y6" s="153">
        <v>2</v>
      </c>
      <c r="Z6" s="148">
        <f>FLOOR(P91*(1-X6),100)</f>
        <v>454100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Medic 5,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0</v>
      </c>
      <c r="E9" s="115">
        <f>IF(B4&gt;0,-ROUNDUP(0.1*E4,0)*B9,-B9)</f>
        <v>0</v>
      </c>
      <c r="F9" s="38"/>
      <c r="G9" s="178" t="s">
        <v>302</v>
      </c>
      <c r="H9" s="178"/>
      <c r="I9" s="179"/>
      <c r="J9" s="52">
        <f>J8*(1+B9)</f>
        <v>864</v>
      </c>
      <c r="K9" s="177" t="s">
        <v>64</v>
      </c>
      <c r="L9" s="178"/>
      <c r="M9" s="179"/>
      <c r="O9" s="5" t="str">
        <f>IF(B9&gt;0,_xlfn.CONCAT("Athletics (endurance) ",B9,", "),"")</f>
        <v/>
      </c>
      <c r="P9" s="137">
        <f>-500*E9</f>
        <v>0</v>
      </c>
      <c r="R9" s="116" t="s">
        <v>49</v>
      </c>
      <c r="S9" s="162" t="str">
        <f>IF(COUNT(B19:B26)=0,"none",_xlfn.CONCAT(COUNT(B19:B26), " X (STR ",H19," DEX ",L19,")"))</f>
        <v>5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864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12)</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Vacuum Environment Protection,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864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19</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9</v>
      </c>
      <c r="E20" s="101" cm="1">
        <f t="array" ref="E20">ROUNDUP(_xlfn.IFS($B$4-B20=0,0,$B$4-B20=1,$E$4*0.05,$B$4-B20=2,$E$4*0.08,$B$4-B20=3,$E$4*0.09,$B$4-B20&gt;3,$E$4*0.1,$B$4-B20&lt;0,$E$4*0.1*($B$4-B20)),0)</f>
        <v>13</v>
      </c>
      <c r="F20" s="54">
        <f t="shared" si="1"/>
        <v>10</v>
      </c>
      <c r="G20" s="16"/>
      <c r="H20" s="6">
        <f t="shared" si="2"/>
        <v>5</v>
      </c>
      <c r="I20" s="21">
        <f t="shared" si="3"/>
        <v>-1</v>
      </c>
      <c r="J20" s="54">
        <f t="shared" si="4"/>
        <v>19</v>
      </c>
      <c r="K20" s="16"/>
      <c r="L20" s="6">
        <f t="shared" si="5"/>
        <v>9</v>
      </c>
      <c r="M20" s="21">
        <f t="shared" si="6"/>
        <v>1</v>
      </c>
      <c r="O20" s="5" t="str">
        <f t="shared" si="7"/>
        <v/>
      </c>
      <c r="P20" s="137">
        <f>IF((B20-$B$4)*100&gt;-0.2*$P$5,(B20-$B$4)*100,-0.2*$P$5)+B20*100*(G20)^2+B20*200*(K20)^2</f>
        <v>-500</v>
      </c>
      <c r="R20" s="232" t="s">
        <v>863</v>
      </c>
      <c r="S20" s="189"/>
      <c r="T20" s="189"/>
      <c r="U20" s="189"/>
      <c r="V20" s="189"/>
      <c r="W20" s="189"/>
      <c r="X20" s="189"/>
      <c r="Y20" s="189"/>
      <c r="Z20" s="190"/>
    </row>
    <row r="21" spans="1:26" ht="12" customHeight="1" x14ac:dyDescent="0.35">
      <c r="A21" s="93" t="s">
        <v>52</v>
      </c>
      <c r="B21" s="30">
        <v>3</v>
      </c>
      <c r="C21" s="6">
        <f t="shared" si="0"/>
        <v>5</v>
      </c>
      <c r="D21" s="97">
        <f t="shared" si="8"/>
        <v>9</v>
      </c>
      <c r="E21" s="101" cm="1">
        <f t="array" ref="E21">IF(B21=0,0,ROUNDUP(_xlfn.IFS($B$4-B21=0,-$E$4*0.1,$B$4-B21=1,-$E$4*0.05,$B$4-B21=2,-$E$4*0.02,$B$4-B21=3,-$E$4*0.01,$B$4-B21&gt;3,-$E$4*0.01,$B$4-B21&lt;0,$E$4*0.2*($B$4-B21)),0))</f>
        <v>-2</v>
      </c>
      <c r="F21" s="54">
        <f t="shared" si="1"/>
        <v>10</v>
      </c>
      <c r="G21" s="16"/>
      <c r="H21" s="6">
        <f t="shared" si="2"/>
        <v>5</v>
      </c>
      <c r="I21" s="21">
        <f t="shared" si="3"/>
        <v>-1</v>
      </c>
      <c r="J21" s="54">
        <f t="shared" si="4"/>
        <v>19</v>
      </c>
      <c r="K21" s="16"/>
      <c r="L21" s="6">
        <f t="shared" si="5"/>
        <v>9</v>
      </c>
      <c r="M21" s="21">
        <f t="shared" si="6"/>
        <v>1</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9</v>
      </c>
      <c r="E22" s="101" cm="1">
        <f t="array" ref="E22">IF(B22=0,0,ROUNDUP(_xlfn.IFS($B$4-B22=0,-$E$4*0.1,$B$4-B22=1,-$E$4*0.05,$B$4-B22=2,-$E$4*0.02,$B$4-B22=3,-$E$4*0.01,$B$4-B22&gt;3,-$E$4*0.01,$B$4-B22&lt;0,$E$4*0.2*($B$4-B22)),0))</f>
        <v>-2</v>
      </c>
      <c r="F22" s="54">
        <f t="shared" si="1"/>
        <v>10</v>
      </c>
      <c r="G22" s="16"/>
      <c r="H22" s="6">
        <f t="shared" si="2"/>
        <v>5</v>
      </c>
      <c r="I22" s="21">
        <f t="shared" si="3"/>
        <v>-1</v>
      </c>
      <c r="J22" s="54">
        <f t="shared" si="4"/>
        <v>19</v>
      </c>
      <c r="K22" s="16"/>
      <c r="L22" s="6">
        <f t="shared" si="5"/>
        <v>9</v>
      </c>
      <c r="M22" s="21">
        <f t="shared" si="6"/>
        <v>1</v>
      </c>
      <c r="O22" s="5" t="str">
        <f t="shared" si="7"/>
        <v/>
      </c>
      <c r="P22" s="137">
        <f t="shared" si="9"/>
        <v>300</v>
      </c>
      <c r="R22" s="191"/>
      <c r="S22" s="192"/>
      <c r="T22" s="192"/>
      <c r="U22" s="192"/>
      <c r="V22" s="192"/>
      <c r="W22" s="192"/>
      <c r="X22" s="192"/>
      <c r="Y22" s="192"/>
      <c r="Z22" s="193"/>
    </row>
    <row r="23" spans="1:26" ht="12" customHeight="1" x14ac:dyDescent="0.35">
      <c r="A23" s="93" t="s">
        <v>54</v>
      </c>
      <c r="B23" s="30">
        <v>3</v>
      </c>
      <c r="C23" s="6">
        <f t="shared" si="0"/>
        <v>5</v>
      </c>
      <c r="D23" s="97">
        <f t="shared" si="8"/>
        <v>9</v>
      </c>
      <c r="E23" s="101" cm="1">
        <f t="array" ref="E23">IF(B23=0,0,ROUNDUP(_xlfn.IFS($B$4-B23=0,-$E$4*0.1,$B$4-B23=1,-$E$4*0.05,$B$4-B23=2,-$E$4*0.02,$B$4-B23=3,-$E$4*0.01,$B$4-B23&gt;3,-$E$4*0.01,$B$4-B23&lt;0,$E$4*0.2*($B$4-B23)),0))</f>
        <v>-2</v>
      </c>
      <c r="F23" s="54">
        <f t="shared" si="1"/>
        <v>10</v>
      </c>
      <c r="G23" s="16"/>
      <c r="H23" s="6">
        <f t="shared" si="2"/>
        <v>5</v>
      </c>
      <c r="I23" s="21">
        <f t="shared" si="3"/>
        <v>-1</v>
      </c>
      <c r="J23" s="54">
        <f t="shared" si="4"/>
        <v>19</v>
      </c>
      <c r="K23" s="16"/>
      <c r="L23" s="6">
        <f t="shared" si="5"/>
        <v>9</v>
      </c>
      <c r="M23" s="21">
        <f t="shared" si="6"/>
        <v>1</v>
      </c>
      <c r="O23" s="5" t="str">
        <f t="shared" si="7"/>
        <v/>
      </c>
      <c r="P23" s="137">
        <f t="shared" si="9"/>
        <v>300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19</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19</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19</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19</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19</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-160</v>
      </c>
      <c r="F37" s="38">
        <f>IF(_xlfn.XLOOKUP(A37,OptionsTable[Name],OptionsTable[xS],,,)=FALSE,1,IF($B$4&gt;0,$E$4,1))</f>
        <v>1</v>
      </c>
      <c r="G37" s="58">
        <v>160</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32000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-9</v>
      </c>
      <c r="F40" s="38">
        <f>IF(_xlfn.XLOOKUP(A40,OptionsTable[Name],OptionsTable[xS],,,)=FALSE,1,IF($B$4&gt;0,$E$4,1))</f>
        <v>1</v>
      </c>
      <c r="G40" s="58">
        <v>9</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900</v>
      </c>
      <c r="R40" s="191"/>
      <c r="S40" s="192"/>
      <c r="T40" s="192"/>
      <c r="U40" s="192"/>
      <c r="V40" s="192"/>
      <c r="W40" s="192"/>
      <c r="X40" s="192"/>
      <c r="Y40" s="192"/>
      <c r="Z40" s="193"/>
    </row>
    <row r="41" spans="1:26" ht="12" customHeight="1" x14ac:dyDescent="0.35">
      <c r="A41" s="197" t="s">
        <v>100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128</v>
      </c>
      <c r="G41" s="58"/>
      <c r="H41" s="199" t="str">
        <f>IF(_xlfn.XLOOKUP(A41,OptionsTable[Name],OptionsTable[Notes],,,)="","",_xlfn.XLOOKUP(A41,OptionsTable[Name],OptionsTable[Notes],,,))</f>
        <v>+ Hostile env</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76800</v>
      </c>
      <c r="R41" s="191"/>
      <c r="S41" s="192"/>
      <c r="T41" s="192"/>
      <c r="U41" s="192"/>
      <c r="V41" s="192"/>
      <c r="W41" s="192"/>
      <c r="X41" s="192"/>
      <c r="Y41" s="192"/>
      <c r="Z41" s="193"/>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83</v>
      </c>
      <c r="C64" s="227"/>
      <c r="D64" s="227"/>
      <c r="E64" s="40">
        <f>IF(L64+K64-O2&gt;B4,-1,0)</f>
        <v>0</v>
      </c>
      <c r="F64" s="38"/>
      <c r="H64" s="1">
        <f>_xlfn.XLOOKUP(B64,Brains[Programming/Control],Brains[Base INT],,,)</f>
        <v>11</v>
      </c>
      <c r="I64" s="31">
        <f>IF(H64&gt;17,4,IF(H64&gt;14,3,IF(H64&gt;11,2,IF(H64&gt;8,1,IF(H64&gt;5,0,IF(H64&gt;2,-1,-2))))))</f>
        <v>1</v>
      </c>
      <c r="J64" s="1">
        <f>_xlfn.XLOOKUP(B64,Brains[Programming/Control],Brains[Computer/X],,,)</f>
        <v>5</v>
      </c>
      <c r="K64" s="44">
        <f>_xlfn.XLOOKUP(B64,Brains[Programming/Control],Brains[TL],,,)</f>
        <v>14</v>
      </c>
      <c r="L64">
        <f>_xlfn.XLOOKUP(B64,Brains[Programming/Control],Brains[Computer/X],,,)</f>
        <v>5</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125000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5</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12</v>
      </c>
      <c r="I66" s="15">
        <f>IF(H66&gt;17,4,IF(H66&gt;14,3,IF(H66&gt;11,2,IF(H66&gt;8,1,IF(H66&gt;5,0,IF(H66&gt;2,-1,-2))))))</f>
        <v>2</v>
      </c>
      <c r="K66" s="44"/>
      <c r="L66" s="56">
        <f>L65+F66</f>
        <v>4</v>
      </c>
      <c r="M66" t="s">
        <v>310</v>
      </c>
      <c r="P66" s="137" cm="1">
        <f t="array" ref="P66">_xlfn.IFS(B66=0,0,B66=1,(H64+1)*1000,B66=2,(H64+1)*(H64+2)*1000,B66=3,(H64+1)*(H64+2)*(H64+3)*1000)*IF(H66&gt;11,2,1)</f>
        <v>24000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5</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5,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504600</v>
      </c>
    </row>
    <row r="92" spans="1:16" ht="12" customHeight="1" thickBot="1" x14ac:dyDescent="0.45">
      <c r="B92" s="110"/>
      <c r="O92" s="149" t="str">
        <f>CONCATENATE("Cost With "&amp;X6*100 &amp; "% Discount")</f>
        <v>Cost With 10% Discount</v>
      </c>
      <c r="P92" s="147">
        <f>P2</f>
        <v>454100</v>
      </c>
    </row>
    <row r="93" spans="1:16" ht="12" customHeight="1" x14ac:dyDescent="0.4">
      <c r="B93" s="111"/>
    </row>
    <row r="94" spans="1:16" ht="12" customHeight="1" x14ac:dyDescent="0.35">
      <c r="A94" s="110"/>
      <c r="B94" s="112"/>
    </row>
  </sheetData>
  <dataConsolidate/>
  <mergeCells count="113">
    <mergeCell ref="B2:D2"/>
    <mergeCell ref="F2:H2"/>
    <mergeCell ref="I2:M2"/>
    <mergeCell ref="G3:J3"/>
    <mergeCell ref="G4:I4"/>
    <mergeCell ref="K4:L4"/>
    <mergeCell ref="G10:H10"/>
    <mergeCell ref="K10:M10"/>
    <mergeCell ref="S10:Z10"/>
    <mergeCell ref="G9:I9"/>
    <mergeCell ref="K9:M9"/>
    <mergeCell ref="S9:Z9"/>
    <mergeCell ref="G5:I5"/>
    <mergeCell ref="H6:N6"/>
    <mergeCell ref="G7:I7"/>
    <mergeCell ref="S7:Z7"/>
    <mergeCell ref="G8:I8"/>
    <mergeCell ref="K8:M8"/>
    <mergeCell ref="S8:Z8"/>
    <mergeCell ref="A32:D32"/>
    <mergeCell ref="H32:J32"/>
    <mergeCell ref="A33:D33"/>
    <mergeCell ref="H33:J33"/>
    <mergeCell ref="A34:D34"/>
    <mergeCell ref="H34:J34"/>
    <mergeCell ref="B29:D29"/>
    <mergeCell ref="H29:J29"/>
    <mergeCell ref="A30:D30"/>
    <mergeCell ref="H30:J30"/>
    <mergeCell ref="A31:D31"/>
    <mergeCell ref="H31:J31"/>
    <mergeCell ref="R20:Z75"/>
    <mergeCell ref="G11:H11"/>
    <mergeCell ref="K11:L11"/>
    <mergeCell ref="S11:Z11"/>
    <mergeCell ref="G12:O12"/>
    <mergeCell ref="S12:Z12"/>
    <mergeCell ref="R13:R17"/>
    <mergeCell ref="S13:Z17"/>
    <mergeCell ref="A39:D39"/>
    <mergeCell ref="H39:J39"/>
    <mergeCell ref="A40:D40"/>
    <mergeCell ref="H40:J40"/>
    <mergeCell ref="A41:D41"/>
    <mergeCell ref="H41:J41"/>
    <mergeCell ref="H35:J35"/>
    <mergeCell ref="A36:D36"/>
    <mergeCell ref="H36:J36"/>
    <mergeCell ref="A37:D37"/>
    <mergeCell ref="H37:J37"/>
    <mergeCell ref="A38:D38"/>
    <mergeCell ref="H38:J38"/>
    <mergeCell ref="A45:D45"/>
    <mergeCell ref="H45:J45"/>
    <mergeCell ref="A46:D46"/>
    <mergeCell ref="H46:J46"/>
    <mergeCell ref="A47:D47"/>
    <mergeCell ref="H47:J47"/>
    <mergeCell ref="A42:D42"/>
    <mergeCell ref="H42:J42"/>
    <mergeCell ref="A43:D43"/>
    <mergeCell ref="H43:J43"/>
    <mergeCell ref="A44:D44"/>
    <mergeCell ref="H44:J44"/>
    <mergeCell ref="A51:D51"/>
    <mergeCell ref="H51:J51"/>
    <mergeCell ref="A52:D52"/>
    <mergeCell ref="H52:J52"/>
    <mergeCell ref="A53:D53"/>
    <mergeCell ref="H53:J53"/>
    <mergeCell ref="A48:D48"/>
    <mergeCell ref="H48:J48"/>
    <mergeCell ref="A49:D49"/>
    <mergeCell ref="H49:J49"/>
    <mergeCell ref="A50:D50"/>
    <mergeCell ref="H50:J50"/>
    <mergeCell ref="A57:D57"/>
    <mergeCell ref="H57:J57"/>
    <mergeCell ref="A59:D59"/>
    <mergeCell ref="H59:I59"/>
    <mergeCell ref="A60:D60"/>
    <mergeCell ref="H60:I60"/>
    <mergeCell ref="A54:D54"/>
    <mergeCell ref="H54:J54"/>
    <mergeCell ref="A55:D55"/>
    <mergeCell ref="H55:J55"/>
    <mergeCell ref="A56:D56"/>
    <mergeCell ref="H56:J56"/>
    <mergeCell ref="B71:D71"/>
    <mergeCell ref="B73:C73"/>
    <mergeCell ref="B74:C74"/>
    <mergeCell ref="B75:C75"/>
    <mergeCell ref="B76:C76"/>
    <mergeCell ref="B77:C77"/>
    <mergeCell ref="A61:D61"/>
    <mergeCell ref="H61:I61"/>
    <mergeCell ref="B64:D64"/>
    <mergeCell ref="B65:D65"/>
    <mergeCell ref="B69:D69"/>
    <mergeCell ref="B70:D70"/>
    <mergeCell ref="B90:C90"/>
    <mergeCell ref="B84:C84"/>
    <mergeCell ref="B85:C85"/>
    <mergeCell ref="B86:C86"/>
    <mergeCell ref="B87:C87"/>
    <mergeCell ref="B88:C88"/>
    <mergeCell ref="B89:C89"/>
    <mergeCell ref="B78:C78"/>
    <mergeCell ref="B79:C79"/>
    <mergeCell ref="B80:C80"/>
    <mergeCell ref="B81:C81"/>
    <mergeCell ref="B82:C82"/>
    <mergeCell ref="B83:C83"/>
  </mergeCells>
  <conditionalFormatting sqref="B14">
    <cfRule type="expression" dxfId="35" priority="6">
      <formula>ABS($J$14-6) &gt; 6</formula>
    </cfRule>
  </conditionalFormatting>
  <conditionalFormatting sqref="E2">
    <cfRule type="expression" dxfId="34" priority="4">
      <formula>$E$2&lt;0</formula>
    </cfRule>
  </conditionalFormatting>
  <conditionalFormatting sqref="E15:E17">
    <cfRule type="expression" dxfId="33" priority="1">
      <formula>AND($B$4=0,E15&lt;0)</formula>
    </cfRule>
  </conditionalFormatting>
  <conditionalFormatting sqref="K5 K30:K34 K36:K57 K59:K61 K64:K67 K73:K90">
    <cfRule type="expression" dxfId="32" priority="5">
      <formula>K5&gt;$O$2</formula>
    </cfRule>
  </conditionalFormatting>
  <conditionalFormatting sqref="L57">
    <cfRule type="expression" dxfId="31" priority="2">
      <formula>L57&gt;$O$2</formula>
    </cfRule>
  </conditionalFormatting>
  <conditionalFormatting sqref="L67">
    <cfRule type="expression" dxfId="30" priority="3">
      <formula>L67&lt;0</formula>
    </cfRule>
  </conditionalFormatting>
  <dataValidations count="20">
    <dataValidation type="whole" allowBlank="1" showInputMessage="1" showErrorMessage="1" error="Must be a negative number no less than a 50% of the base hits" sqref="B11" xr:uid="{15A681A6-61C6-4943-8F29-A8985BD5B464}">
      <formula1>-J4/2</formula1>
      <formula2>0</formula2>
    </dataValidation>
    <dataValidation type="whole" allowBlank="1" showInputMessage="1" showErrorMessage="1" error="Must be whole number. No more than 50% of slots may be used for Resiliency" sqref="B10" xr:uid="{FF617E0B-8445-4952-8073-6FE8653141FC}">
      <formula1>0</formula1>
      <formula2>E4/2</formula2>
    </dataValidation>
    <dataValidation type="whole" allowBlank="1" showInputMessage="1" showErrorMessage="1" sqref="E11" xr:uid="{AAA00A99-B3A4-4DAD-B77F-19E2DDEE2D79}">
      <formula1>0</formula1>
      <formula2>J4/2</formula2>
    </dataValidation>
    <dataValidation type="list" allowBlank="1" showInputMessage="1" showErrorMessage="1" error="Maximum = 3" sqref="B9" xr:uid="{F7EFD124-B4DD-44DD-B8B2-2B0E20767C95}">
      <formula1>"0,1,2,3"</formula1>
    </dataValidation>
    <dataValidation type="list" allowBlank="1" showInputMessage="1" showErrorMessage="1" sqref="B4" xr:uid="{702078DF-31CD-4901-8A53-1865C05D37DA}">
      <formula1>"0,1,2,3,4,5,6,7,8"</formula1>
    </dataValidation>
    <dataValidation type="list" allowBlank="1" showInputMessage="1" showErrorMessage="1" sqref="O2" xr:uid="{C8913D47-2823-430D-9EAF-26C4C537BE4C}">
      <formula1>"7,8,9,10,11,12,13,14,15,16,17,18"</formula1>
    </dataValidation>
    <dataValidation type="whole" allowBlank="1" showInputMessage="1" showErrorMessage="1" error="Max Manipulator Size = Chassis Size +2_x000a_Min Manipulator Size = 0_x000a_Whole Numbers Only" sqref="B19:B26" xr:uid="{F94CA7D7-196E-4544-80EB-363D819084D0}">
      <formula1>0</formula1>
      <formula2>$B$4+2</formula2>
    </dataValidation>
    <dataValidation type="list" allowBlank="1" showInputMessage="1" showErrorMessage="1" sqref="B27:B28 B67 B8" xr:uid="{19FD243A-9528-4DF3-AC83-AB7E3FFD52F6}">
      <formula1>"TRUE,FALSE"</formula1>
    </dataValidation>
    <dataValidation type="list" allowBlank="1" showInputMessage="1" showErrorMessage="1" sqref="B13" xr:uid="{72E8638E-674B-4DA1-8D6C-222FA585EB10}">
      <formula1>"0,1,2,3,4"</formula1>
    </dataValidation>
    <dataValidation type="list" allowBlank="1" showInputMessage="1" showErrorMessage="1" sqref="D73:D90 B66" xr:uid="{B873048A-29FC-44E5-90C1-8C65A5D65995}">
      <formula1>"0,1,2,3"</formula1>
    </dataValidation>
    <dataValidation type="list" allowBlank="1" showInputMessage="1" showErrorMessage="1" sqref="B15" xr:uid="{EE5FA452-2391-4F58-BBAF-32AF0F6F3689}">
      <formula1>"FALSE,TRUE"</formula1>
    </dataValidation>
    <dataValidation type="list" allowBlank="1" showInputMessage="1" showErrorMessage="1" sqref="B16" xr:uid="{FDB3EDF7-9673-4CC1-B112-6BBDE80535B6}">
      <formula1>"No,1X,2X,3X"</formula1>
    </dataValidation>
    <dataValidation type="whole" allowBlank="1" showInputMessage="1" showErrorMessage="1" error="Must be whole number between -6 and +12" sqref="B14" xr:uid="{D14C70D8-0727-4D29-AA86-4D486B4F4C90}">
      <formula1>-6</formula1>
      <formula2>12</formula2>
    </dataValidation>
    <dataValidation type="whole" allowBlank="1" showInputMessage="1" showErrorMessage="1" sqref="C11:D11" xr:uid="{2D6E249B-8548-4516-9E63-8895DE92EDF7}">
      <formula1>0</formula1>
      <formula2>D4/2</formula2>
    </dataValidation>
    <dataValidation type="whole" allowBlank="1" showInputMessage="1" showErrorMessage="1" sqref="C13:D13" xr:uid="{BED8F7A1-3033-4CD4-B0B8-CD9212F64512}">
      <formula1>0</formula1>
      <formula2>D5/2</formula2>
    </dataValidation>
    <dataValidation type="whole" allowBlank="1" showInputMessage="1" showErrorMessage="1" sqref="C14:D14" xr:uid="{4DD6FD9F-FDDB-4AD9-BEDA-CD783B6F78C7}">
      <formula1>0</formula1>
      <formula2>D15/2</formula2>
    </dataValidation>
    <dataValidation type="whole" allowBlank="1" showInputMessage="1" showErrorMessage="1" sqref="E13:E14" xr:uid="{8B49B798-C823-48D4-8736-AB1806A09BD5}">
      <formula1>0</formula1>
      <formula2>#REF!/2</formula2>
    </dataValidation>
    <dataValidation type="whole" allowBlank="1" showInputMessage="1" showErrorMessage="1" error="Max STR = Lesser of Size + TL or SIZE X 4" sqref="G19:G28" xr:uid="{4D4C492B-8C56-4742-BD0A-FD401DF08993}">
      <formula1>0</formula1>
      <formula2>F19-C19</formula2>
    </dataValidation>
    <dataValidation type="whole" allowBlank="1" showInputMessage="1" showErrorMessage="1" error="Max DEX = TL+3" sqref="K19:K28" xr:uid="{411F3365-E069-421A-B191-D6E0F60A5708}">
      <formula1>0</formula1>
      <formula2>J19-D19</formula2>
    </dataValidation>
    <dataValidation type="whole" allowBlank="1" showInputMessage="1" showErrorMessage="1" error="Total Armour cannot exceed Maximum" sqref="B7" xr:uid="{91BA0AFB-FA79-45AF-9DB8-0CCCB5FB4B32}">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F3BF0786-9609-4690-A4E5-0D52E5B0B9E7}">
          <x14:formula1>
            <xm:f>Options!$C$9:$C$256</xm:f>
          </x14:formula1>
          <xm:sqref>A36:A56</xm:sqref>
        </x14:dataValidation>
        <x14:dataValidation type="list" allowBlank="1" showInputMessage="1" showErrorMessage="1" xr:uid="{F60DDCAE-5DEE-4894-9796-FF20C76AC04D}">
          <x14:formula1>
            <xm:f>Options!$C$9:$C$71</xm:f>
          </x14:formula1>
          <xm:sqref>A30:A34</xm:sqref>
        </x14:dataValidation>
        <x14:dataValidation type="list" allowBlank="1" showInputMessage="1" showErrorMessage="1" xr:uid="{B3792F20-D397-4B3B-B2C9-4EA615F477C0}">
          <x14:formula1>
            <xm:f>Packages!$B$29:$B$82</xm:f>
          </x14:formula1>
          <xm:sqref>A73:A90</xm:sqref>
        </x14:dataValidation>
        <x14:dataValidation type="list" allowBlank="1" showInputMessage="1" showErrorMessage="1" xr:uid="{B1DF0375-F6FC-42D3-BF12-E03F04A96FDD}">
          <x14:formula1>
            <xm:f>Chassis!$H$3:$H$13</xm:f>
          </x14:formula1>
          <xm:sqref>B17 B5</xm:sqref>
        </x14:dataValidation>
        <x14:dataValidation type="list" allowBlank="1" showInputMessage="1" showErrorMessage="1" xr:uid="{FCFFCA78-BA7B-4EB7-9839-067829AF19C0}">
          <x14:formula1>
            <xm:f>Packages!$B$11:$B$19</xm:f>
          </x14:formula1>
          <xm:sqref>B70</xm:sqref>
        </x14:dataValidation>
        <x14:dataValidation type="list" allowBlank="1" showInputMessage="1" showErrorMessage="1" xr:uid="{0C16545F-EE34-40A5-9831-74DDC9FFAEA2}">
          <x14:formula1>
            <xm:f>Brains!$B$3:$B$19</xm:f>
          </x14:formula1>
          <xm:sqref>B64</xm:sqref>
        </x14:dataValidation>
        <x14:dataValidation type="list" allowBlank="1" showInputMessage="1" showErrorMessage="1" xr:uid="{3813517E-A725-4481-9FB7-9E53E444ED6F}">
          <x14:formula1>
            <xm:f>Packages!$B$3:$B$7</xm:f>
          </x14:formula1>
          <xm:sqref>B69</xm:sqref>
        </x14:dataValidation>
        <x14:dataValidation type="list" allowBlank="1" showInputMessage="1" showErrorMessage="1" xr:uid="{B214B186-8D06-406B-9AE5-1E6859199DA2}">
          <x14:formula1>
            <xm:f>Packages!$B$23:$B$25</xm:f>
          </x14:formula1>
          <xm:sqref>B71</xm:sqref>
        </x14:dataValidation>
        <x14:dataValidation type="list" allowBlank="1" showInputMessage="1" showErrorMessage="1" xr:uid="{71EB7498-6186-491B-8012-6844037BF5C4}">
          <x14:formula1>
            <xm:f>Brains!$K$3:$K$16</xm:f>
          </x14:formula1>
          <xm:sqref>B65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09326-421F-4101-87B5-2219E399DEF9}">
  <sheetPr>
    <tabColor rgb="FF92D050"/>
  </sheetPr>
  <dimension ref="A1:Z93"/>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865</v>
      </c>
      <c r="C2" s="204"/>
      <c r="D2" s="205"/>
      <c r="E2" s="36">
        <f>SUM(E5:E90)+E4</f>
        <v>0</v>
      </c>
      <c r="F2" s="206" t="s">
        <v>184</v>
      </c>
      <c r="G2" s="207"/>
      <c r="H2" s="208"/>
      <c r="I2" s="203" t="s">
        <v>776</v>
      </c>
      <c r="J2" s="204"/>
      <c r="K2" s="204"/>
      <c r="L2" s="204"/>
      <c r="M2" s="204"/>
      <c r="N2" s="79" t="s">
        <v>315</v>
      </c>
      <c r="O2" s="37">
        <v>10</v>
      </c>
      <c r="P2" s="151">
        <f>Z6</f>
        <v>145000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18</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Basic Emergency AutoBerth (Long Duration)</v>
      </c>
      <c r="S6" s="144">
        <f>M11</f>
        <v>72</v>
      </c>
      <c r="T6" s="144" t="str">
        <f>B5</f>
        <v>None</v>
      </c>
      <c r="U6" s="144" t="str">
        <f>_xlfn.CONCAT(J14," m")</f>
        <v>0 m</v>
      </c>
      <c r="V6" s="145">
        <f>O2</f>
        <v>10</v>
      </c>
      <c r="W6" s="150">
        <f>P91</f>
        <v>161200</v>
      </c>
      <c r="X6" s="152">
        <f>IF(I2="Standard Design",0.1,0)</f>
        <v>0.1</v>
      </c>
      <c r="Y6" s="153">
        <v>2</v>
      </c>
      <c r="Z6" s="148">
        <f>FLOOR(P91*(1-X6),100)</f>
        <v>145000</v>
      </c>
    </row>
    <row r="7" spans="1:26" ht="12" customHeight="1" x14ac:dyDescent="0.4">
      <c r="A7" s="92" t="str">
        <f>IF( B4&gt;0,IF(COUNT(L36:L56)&gt;0,"Armour (Base =  +0)",_xlfn.CONCAT("Armour (Base =  +",_xlfn.XLOOKUP($O$2,Armour[TL],Armour[Base],,,),")")),_xlfn.CONCAT("Armour (Base =  +",_xlfn.XLOOKUP($O$2,Armour[TL],Armour[Base],,,)-2,")"))</f>
        <v>Armour (Base =  +3)</v>
      </c>
      <c r="B7" s="29">
        <v>0</v>
      </c>
      <c r="E7" s="115" cm="1">
        <f t="array" ref="E7">IF(ROUNDUP(_xlfn.XLOOKUP($O$2,Armour[TL],Armour[Slots]*B7*E4,,,),0)&lt;B7/F7,-ROUNDUP(B7/F7,0),-ROUNDUP(_xlfn.XLOOKUP($O$2,Armour[TL],Armour[Slots]*B7*E4,,,),0))</f>
        <v>0</v>
      </c>
      <c r="F7" s="38">
        <f>_xlfn.XLOOKUP($O$2,Armour[TL],Armour[Max/slot],,,)</f>
        <v>2</v>
      </c>
      <c r="G7" s="209" t="s">
        <v>183</v>
      </c>
      <c r="H7" s="209"/>
      <c r="I7" s="210"/>
      <c r="J7" s="33">
        <f>IF(B4&gt;0,IF(COUNT(L36:L56)&gt;0,B7,_xlfn.XLOOKUP($O$2,Armour[TL],Armour[Base],,,)+B7),_xlfn.XLOOKUP($O$2,Armour[TL],Armour[Base],,,)-2)</f>
        <v>3</v>
      </c>
      <c r="K7" s="93" t="s">
        <v>313</v>
      </c>
      <c r="L7" s="52">
        <f>_xlfn.XLOOKUP($O$2,Armour[TL],Armour[Max],,,)</f>
        <v>30</v>
      </c>
      <c r="N7" s="5" t="str">
        <f>_xlfn.CONCAT("Armour (+",IF(COUNT(L36:L56)&gt;0,0+B7, _xlfn.XLOOKUP($O$2,Armour[TL],Armour[Base],,,)+B7+IF(B4=0,-2,0)),"), ")</f>
        <v xml:space="preserve">Armour (+3), </v>
      </c>
      <c r="P7" s="137" cm="1">
        <f t="array" ref="P7">IF(B7&gt;-1,_xlfn.XLOOKUP($O$2,Armour[TL],-Armour[Cost/Slot]*E7,,,),-P5*0.1)</f>
        <v>0</v>
      </c>
      <c r="R7" s="119" t="s">
        <v>90</v>
      </c>
      <c r="S7" s="162" t="str">
        <f>_xlfn.CONCAT(O9,O13,O19:O28,O30:O34,O36:O57,O64,O69:O71,O73:O90)</f>
        <v xml:space="preserve">Athletics (endurance) 3, Medic 0,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432</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-39</v>
      </c>
      <c r="F9" s="38"/>
      <c r="G9" s="178" t="s">
        <v>302</v>
      </c>
      <c r="H9" s="178"/>
      <c r="I9" s="179"/>
      <c r="J9" s="52">
        <f>J8*(1+B9)</f>
        <v>1728</v>
      </c>
      <c r="K9" s="177" t="s">
        <v>64</v>
      </c>
      <c r="L9" s="178"/>
      <c r="M9" s="179"/>
      <c r="O9" s="5" t="str">
        <f>IF(B9&gt;0,_xlfn.CONCAT("Athletics (endurance) ",B9,", "),"")</f>
        <v xml:space="preserve">Athletics (endurance) 3, </v>
      </c>
      <c r="P9" s="137">
        <f>-500*E9</f>
        <v>19500</v>
      </c>
      <c r="R9" s="116" t="s">
        <v>49</v>
      </c>
      <c r="S9" s="162" t="str">
        <f>IF(COUNT(B19:B26)=0,"none",_xlfn.CONCAT(COUNT(B19:B26), " X (STR ",H19," DEX ",L19,")"))</f>
        <v>5 X (STR 5 DEX 6)</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1728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(+3),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N/A (INT 4)</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Medical Chamber, Medical Chamber Option: Low berth (basic), Medikit (basic), Storage Compartment (refrigerated), Vacuum Environment Protection, ,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1728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6</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13</v>
      </c>
      <c r="K19" s="16">
        <v>0</v>
      </c>
      <c r="L19" s="61">
        <f t="shared" ref="L19:L28" si="5">D19+K19</f>
        <v>6</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6</v>
      </c>
      <c r="E20" s="101" cm="1">
        <f t="array" ref="E20">ROUNDUP(_xlfn.IFS($B$4-B20=0,0,$B$4-B20=1,$E$4*0.05,$B$4-B20=2,$E$4*0.08,$B$4-B20=3,$E$4*0.09,$B$4-B20&gt;3,$E$4*0.1,$B$4-B20&lt;0,$E$4*0.1*($B$4-B20)),0)</f>
        <v>13</v>
      </c>
      <c r="F20" s="54">
        <f t="shared" si="1"/>
        <v>10</v>
      </c>
      <c r="G20" s="16"/>
      <c r="H20" s="6">
        <f t="shared" si="2"/>
        <v>5</v>
      </c>
      <c r="I20" s="21">
        <f t="shared" si="3"/>
        <v>-1</v>
      </c>
      <c r="J20" s="54">
        <f t="shared" si="4"/>
        <v>13</v>
      </c>
      <c r="K20" s="16"/>
      <c r="L20" s="6">
        <f t="shared" si="5"/>
        <v>6</v>
      </c>
      <c r="M20" s="21">
        <f t="shared" si="6"/>
        <v>0</v>
      </c>
      <c r="O20" s="5" t="str">
        <f t="shared" si="7"/>
        <v/>
      </c>
      <c r="P20" s="137">
        <f>IF((B20-$B$4)*100&gt;-0.2*$P$5,(B20-$B$4)*100,-0.2*$P$5)+B20*100*(G20)^2+B20*200*(K20)^2</f>
        <v>-500</v>
      </c>
      <c r="R20" s="232" t="s">
        <v>875</v>
      </c>
      <c r="S20" s="233"/>
      <c r="T20" s="233"/>
      <c r="U20" s="233"/>
      <c r="V20" s="233"/>
      <c r="W20" s="233"/>
      <c r="X20" s="233"/>
      <c r="Y20" s="233"/>
      <c r="Z20" s="234"/>
    </row>
    <row r="21" spans="1:26" ht="12" customHeight="1" x14ac:dyDescent="0.35">
      <c r="A21" s="93" t="s">
        <v>52</v>
      </c>
      <c r="B21" s="30">
        <v>3</v>
      </c>
      <c r="C21" s="6">
        <f t="shared" si="0"/>
        <v>5</v>
      </c>
      <c r="D21" s="97">
        <f t="shared" si="8"/>
        <v>6</v>
      </c>
      <c r="E21" s="101" cm="1">
        <f t="array" ref="E21">IF(B21=0,0,ROUNDUP(_xlfn.IFS($B$4-B21=0,-$E$4*0.1,$B$4-B21=1,-$E$4*0.05,$B$4-B21=2,-$E$4*0.02,$B$4-B21=3,-$E$4*0.01,$B$4-B21&gt;3,-$E$4*0.01,$B$4-B21&lt;0,$E$4*0.2*($B$4-B21)),0))</f>
        <v>-2</v>
      </c>
      <c r="F21" s="54">
        <f t="shared" si="1"/>
        <v>10</v>
      </c>
      <c r="G21" s="16"/>
      <c r="H21" s="6">
        <f t="shared" si="2"/>
        <v>5</v>
      </c>
      <c r="I21" s="21">
        <f t="shared" si="3"/>
        <v>-1</v>
      </c>
      <c r="J21" s="54">
        <f t="shared" si="4"/>
        <v>13</v>
      </c>
      <c r="K21" s="16"/>
      <c r="L21" s="6">
        <f t="shared" si="5"/>
        <v>6</v>
      </c>
      <c r="M21" s="21">
        <f t="shared" si="6"/>
        <v>0</v>
      </c>
      <c r="O21" s="5" t="str">
        <f t="shared" si="7"/>
        <v/>
      </c>
      <c r="P21" s="137">
        <f t="shared" ref="P21:P26" si="9">(B21)*100+B21*100*(G21)^2+B21*200*(K21)^2</f>
        <v>300</v>
      </c>
      <c r="R21" s="235"/>
      <c r="S21" s="236"/>
      <c r="T21" s="236"/>
      <c r="U21" s="236"/>
      <c r="V21" s="236"/>
      <c r="W21" s="236"/>
      <c r="X21" s="236"/>
      <c r="Y21" s="236"/>
      <c r="Z21" s="237"/>
    </row>
    <row r="22" spans="1:26" ht="12" customHeight="1" x14ac:dyDescent="0.35">
      <c r="A22" s="93" t="s">
        <v>53</v>
      </c>
      <c r="B22" s="30">
        <v>3</v>
      </c>
      <c r="C22" s="6">
        <f t="shared" si="0"/>
        <v>5</v>
      </c>
      <c r="D22" s="97">
        <f t="shared" si="8"/>
        <v>6</v>
      </c>
      <c r="E22" s="101" cm="1">
        <f t="array" ref="E22">IF(B22=0,0,ROUNDUP(_xlfn.IFS($B$4-B22=0,-$E$4*0.1,$B$4-B22=1,-$E$4*0.05,$B$4-B22=2,-$E$4*0.02,$B$4-B22=3,-$E$4*0.01,$B$4-B22&gt;3,-$E$4*0.01,$B$4-B22&lt;0,$E$4*0.2*($B$4-B22)),0))</f>
        <v>-2</v>
      </c>
      <c r="F22" s="54">
        <f t="shared" si="1"/>
        <v>10</v>
      </c>
      <c r="G22" s="16"/>
      <c r="H22" s="6">
        <f t="shared" si="2"/>
        <v>5</v>
      </c>
      <c r="I22" s="21">
        <f t="shared" si="3"/>
        <v>-1</v>
      </c>
      <c r="J22" s="54">
        <f t="shared" si="4"/>
        <v>13</v>
      </c>
      <c r="K22" s="16"/>
      <c r="L22" s="6">
        <f t="shared" si="5"/>
        <v>6</v>
      </c>
      <c r="M22" s="21">
        <f t="shared" si="6"/>
        <v>0</v>
      </c>
      <c r="O22" s="5" t="str">
        <f t="shared" si="7"/>
        <v/>
      </c>
      <c r="P22" s="137">
        <f t="shared" si="9"/>
        <v>300</v>
      </c>
      <c r="R22" s="235"/>
      <c r="S22" s="236"/>
      <c r="T22" s="236"/>
      <c r="U22" s="236"/>
      <c r="V22" s="236"/>
      <c r="W22" s="236"/>
      <c r="X22" s="236"/>
      <c r="Y22" s="236"/>
      <c r="Z22" s="237"/>
    </row>
    <row r="23" spans="1:26" ht="12" customHeight="1" x14ac:dyDescent="0.35">
      <c r="A23" s="93" t="s">
        <v>54</v>
      </c>
      <c r="B23" s="30">
        <v>3</v>
      </c>
      <c r="C23" s="6">
        <f t="shared" si="0"/>
        <v>5</v>
      </c>
      <c r="D23" s="97">
        <f t="shared" si="8"/>
        <v>6</v>
      </c>
      <c r="E23" s="101" cm="1">
        <f t="array" ref="E23">IF(B23=0,0,ROUNDUP(_xlfn.IFS($B$4-B23=0,-$E$4*0.1,$B$4-B23=1,-$E$4*0.05,$B$4-B23=2,-$E$4*0.02,$B$4-B23=3,-$E$4*0.01,$B$4-B23&gt;3,-$E$4*0.01,$B$4-B23&lt;0,$E$4*0.2*($B$4-B23)),0))</f>
        <v>-2</v>
      </c>
      <c r="F23" s="54">
        <f t="shared" si="1"/>
        <v>10</v>
      </c>
      <c r="G23" s="16"/>
      <c r="H23" s="6">
        <f t="shared" si="2"/>
        <v>5</v>
      </c>
      <c r="I23" s="21">
        <f t="shared" si="3"/>
        <v>-1</v>
      </c>
      <c r="J23" s="54">
        <f t="shared" si="4"/>
        <v>13</v>
      </c>
      <c r="K23" s="16"/>
      <c r="L23" s="6">
        <f t="shared" si="5"/>
        <v>6</v>
      </c>
      <c r="M23" s="21">
        <f t="shared" si="6"/>
        <v>0</v>
      </c>
      <c r="O23" s="5" t="str">
        <f t="shared" si="7"/>
        <v/>
      </c>
      <c r="P23" s="137">
        <f t="shared" si="9"/>
        <v>300</v>
      </c>
      <c r="R23" s="235"/>
      <c r="S23" s="236"/>
      <c r="T23" s="236"/>
      <c r="U23" s="236"/>
      <c r="V23" s="236"/>
      <c r="W23" s="236"/>
      <c r="X23" s="236"/>
      <c r="Y23" s="236"/>
      <c r="Z23" s="237"/>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13</v>
      </c>
      <c r="K24" s="16"/>
      <c r="L24" s="6">
        <f t="shared" si="5"/>
        <v>0</v>
      </c>
      <c r="M24" s="21">
        <f t="shared" si="6"/>
        <v>-2</v>
      </c>
      <c r="O24" s="5" t="str">
        <f t="shared" si="7"/>
        <v/>
      </c>
      <c r="P24" s="137">
        <f t="shared" si="9"/>
        <v>0</v>
      </c>
      <c r="R24" s="235"/>
      <c r="S24" s="236"/>
      <c r="T24" s="236"/>
      <c r="U24" s="236"/>
      <c r="V24" s="236"/>
      <c r="W24" s="236"/>
      <c r="X24" s="236"/>
      <c r="Y24" s="236"/>
      <c r="Z24" s="237"/>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13</v>
      </c>
      <c r="K25" s="16"/>
      <c r="L25" s="6">
        <f t="shared" si="5"/>
        <v>0</v>
      </c>
      <c r="M25" s="21">
        <f t="shared" si="6"/>
        <v>-2</v>
      </c>
      <c r="O25" s="5" t="str">
        <f t="shared" si="7"/>
        <v/>
      </c>
      <c r="P25" s="137">
        <f t="shared" si="9"/>
        <v>0</v>
      </c>
      <c r="R25" s="235"/>
      <c r="S25" s="236"/>
      <c r="T25" s="236"/>
      <c r="U25" s="236"/>
      <c r="V25" s="236"/>
      <c r="W25" s="236"/>
      <c r="X25" s="236"/>
      <c r="Y25" s="236"/>
      <c r="Z25" s="237"/>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13</v>
      </c>
      <c r="K26" s="81"/>
      <c r="L26" s="82">
        <f t="shared" si="5"/>
        <v>0</v>
      </c>
      <c r="M26" s="83">
        <f t="shared" si="6"/>
        <v>-2</v>
      </c>
      <c r="O26" s="5" t="str">
        <f t="shared" si="7"/>
        <v/>
      </c>
      <c r="P26" s="137">
        <f t="shared" si="9"/>
        <v>0</v>
      </c>
      <c r="R26" s="235"/>
      <c r="S26" s="236"/>
      <c r="T26" s="236"/>
      <c r="U26" s="236"/>
      <c r="V26" s="236"/>
      <c r="W26" s="236"/>
      <c r="X26" s="236"/>
      <c r="Y26" s="236"/>
      <c r="Z26" s="237"/>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13</v>
      </c>
      <c r="K27" s="86"/>
      <c r="L27" s="87">
        <f t="shared" si="5"/>
        <v>0</v>
      </c>
      <c r="M27" s="88">
        <f t="shared" si="6"/>
        <v>-2</v>
      </c>
      <c r="N27" s="74"/>
      <c r="O27" s="89" t="str">
        <f t="shared" si="7"/>
        <v/>
      </c>
      <c r="P27" s="138">
        <f>(B27)*100*$B$4+B27*$B$4*100*(G27)^2+B27*$B$4*200*(K27)^2</f>
        <v>0</v>
      </c>
      <c r="R27" s="235"/>
      <c r="S27" s="236"/>
      <c r="T27" s="236"/>
      <c r="U27" s="236"/>
      <c r="V27" s="236"/>
      <c r="W27" s="236"/>
      <c r="X27" s="236"/>
      <c r="Y27" s="236"/>
      <c r="Z27" s="237"/>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13</v>
      </c>
      <c r="K28" s="19"/>
      <c r="L28" s="20">
        <f t="shared" si="5"/>
        <v>0</v>
      </c>
      <c r="M28" s="22">
        <f t="shared" si="6"/>
        <v>-2</v>
      </c>
      <c r="N28" s="24"/>
      <c r="O28" s="5" t="str">
        <f t="shared" si="7"/>
        <v/>
      </c>
      <c r="P28" s="136">
        <f>(B28)*100*$B$4+B28*$B$4*100*(G28)^2+B28*$B$4*200*(K28)^2</f>
        <v>0</v>
      </c>
      <c r="R28" s="235"/>
      <c r="S28" s="236"/>
      <c r="T28" s="236"/>
      <c r="U28" s="236"/>
      <c r="V28" s="236"/>
      <c r="W28" s="236"/>
      <c r="X28" s="236"/>
      <c r="Y28" s="236"/>
      <c r="Z28" s="237"/>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235"/>
      <c r="S29" s="236"/>
      <c r="T29" s="236"/>
      <c r="U29" s="236"/>
      <c r="V29" s="236"/>
      <c r="W29" s="236"/>
      <c r="X29" s="236"/>
      <c r="Y29" s="236"/>
      <c r="Z29" s="237"/>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235"/>
      <c r="S30" s="236"/>
      <c r="T30" s="236"/>
      <c r="U30" s="236"/>
      <c r="V30" s="236"/>
      <c r="W30" s="236"/>
      <c r="X30" s="236"/>
      <c r="Y30" s="236"/>
      <c r="Z30" s="237"/>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235"/>
      <c r="S31" s="236"/>
      <c r="T31" s="236"/>
      <c r="U31" s="236"/>
      <c r="V31" s="236"/>
      <c r="W31" s="236"/>
      <c r="X31" s="236"/>
      <c r="Y31" s="236"/>
      <c r="Z31" s="237"/>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235"/>
      <c r="S32" s="236"/>
      <c r="T32" s="236"/>
      <c r="U32" s="236"/>
      <c r="V32" s="236"/>
      <c r="W32" s="236"/>
      <c r="X32" s="236"/>
      <c r="Y32" s="236"/>
      <c r="Z32" s="237"/>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235"/>
      <c r="S33" s="236"/>
      <c r="T33" s="236"/>
      <c r="U33" s="236"/>
      <c r="V33" s="236"/>
      <c r="W33" s="236"/>
      <c r="X33" s="236"/>
      <c r="Y33" s="236"/>
      <c r="Z33" s="237"/>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235"/>
      <c r="S34" s="236"/>
      <c r="T34" s="236"/>
      <c r="U34" s="236"/>
      <c r="V34" s="236"/>
      <c r="W34" s="236"/>
      <c r="X34" s="236"/>
      <c r="Y34" s="236"/>
      <c r="Z34" s="237"/>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235"/>
      <c r="S35" s="236"/>
      <c r="T35" s="236"/>
      <c r="U35" s="236"/>
      <c r="V35" s="236"/>
      <c r="W35" s="236"/>
      <c r="X35" s="236"/>
      <c r="Y35" s="236"/>
      <c r="Z35" s="237"/>
    </row>
    <row r="36" spans="1:26" ht="12" customHeight="1" x14ac:dyDescent="0.35">
      <c r="A36" s="197" t="s">
        <v>240</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-128</v>
      </c>
      <c r="F36" s="38">
        <f>IF(_xlfn.XLOOKUP(A36,OptionsTable[Name],OptionsTable[xS],,,)=FALSE,1,IF($B$4&gt;0,$E$4,1))</f>
        <v>1</v>
      </c>
      <c r="G36" s="58">
        <v>128</v>
      </c>
      <c r="H36" s="199" t="str">
        <f>IF(_xlfn.XLOOKUP(A36,OptionsTable[Name],OptionsTable[Notes],,,)="","",_xlfn.XLOOKUP(A36,OptionsTable[Name],OptionsTable[Notes],,,))</f>
        <v>DM+1 to Max skill</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25600</v>
      </c>
      <c r="R36" s="235"/>
      <c r="S36" s="236"/>
      <c r="T36" s="236"/>
      <c r="U36" s="236"/>
      <c r="V36" s="236"/>
      <c r="W36" s="236"/>
      <c r="X36" s="236"/>
      <c r="Y36" s="236"/>
      <c r="Z36" s="237"/>
    </row>
    <row r="37" spans="1:26" ht="12" customHeight="1" x14ac:dyDescent="0.35">
      <c r="A37" s="197" t="s">
        <v>559</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-8</v>
      </c>
      <c r="F37" s="38">
        <f>IF(_xlfn.XLOOKUP(A37,OptionsTable[Name],OptionsTable[xS],,,)=FALSE,1,IF($B$4&gt;0,$E$4,1))</f>
        <v>1</v>
      </c>
      <c r="G37" s="58"/>
      <c r="H37" s="199" t="str">
        <f>IF(_xlfn.XLOOKUP(A37,OptionsTable[Name],OptionsTable[Notes],,,)="","",_xlfn.XLOOKUP(A37,OptionsTable[Name],OptionsTable[Notes],,,))</f>
        <v/>
      </c>
      <c r="I37" s="200"/>
      <c r="J37" s="200"/>
      <c r="K37" s="44">
        <f>_xlfn.XLOOKUP(A37,OptionsTable[Name],OptionsTable[TL],,,)</f>
        <v>10</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20000</v>
      </c>
      <c r="R37" s="235"/>
      <c r="S37" s="236"/>
      <c r="T37" s="236"/>
      <c r="U37" s="236"/>
      <c r="V37" s="236"/>
      <c r="W37" s="236"/>
      <c r="X37" s="236"/>
      <c r="Y37" s="236"/>
      <c r="Z37" s="237"/>
    </row>
    <row r="38" spans="1:26" ht="12" customHeight="1" x14ac:dyDescent="0.35">
      <c r="A38" s="197" t="s">
        <v>200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-1</v>
      </c>
      <c r="F38" s="38">
        <f>IF(_xlfn.XLOOKUP(A38,OptionsTable[Name],OptionsTable[xS],,,)=FALSE,1,IF($B$4&gt;0,$E$4,1))</f>
        <v>1</v>
      </c>
      <c r="G38" s="58"/>
      <c r="H38" s="199" t="str">
        <f>IF(_xlfn.XLOOKUP(A38,OptionsTable[Name],OptionsTable[Notes],,,)="","",_xlfn.XLOOKUP(A38,OptionsTable[Name],OptionsTable[Notes],,,))</f>
        <v>0 max skill</v>
      </c>
      <c r="I38" s="200"/>
      <c r="J38" s="200"/>
      <c r="K38" s="44">
        <f>_xlfn.XLOOKUP(A38,OptionsTable[Name],OptionsTable[TL],,,)</f>
        <v>8</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1000</v>
      </c>
      <c r="R38" s="235"/>
      <c r="S38" s="236"/>
      <c r="T38" s="236"/>
      <c r="U38" s="236"/>
      <c r="V38" s="236"/>
      <c r="W38" s="236"/>
      <c r="X38" s="236"/>
      <c r="Y38" s="236"/>
      <c r="Z38" s="237"/>
    </row>
    <row r="39" spans="1:26" ht="12" customHeight="1" x14ac:dyDescent="0.35">
      <c r="A39" s="197" t="s">
        <v>190</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-4</v>
      </c>
      <c r="F39" s="38">
        <f>IF(_xlfn.XLOOKUP(A39,OptionsTable[Name],OptionsTable[xS],,,)=FALSE,1,IF($B$4&gt;0,$E$4,1))</f>
        <v>1</v>
      </c>
      <c r="G39" s="58">
        <v>4</v>
      </c>
      <c r="H39" s="199" t="str">
        <f>IF(_xlfn.XLOOKUP(A39,OptionsTable[Name],OptionsTable[Notes],,,)="","",_xlfn.XLOOKUP(A39,OptionsTable[Name],OptionsTable[Notes],,,))</f>
        <v>2 kg or litres / slot</v>
      </c>
      <c r="I39" s="200"/>
      <c r="J39" s="200"/>
      <c r="K39" s="44">
        <f>_xlfn.XLOOKUP(A39,OptionsTable[Name],OptionsTable[TL],,,)</f>
        <v>6</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400</v>
      </c>
      <c r="R39" s="235"/>
      <c r="S39" s="236"/>
      <c r="T39" s="236"/>
      <c r="U39" s="236"/>
      <c r="V39" s="236"/>
      <c r="W39" s="236"/>
      <c r="X39" s="236"/>
      <c r="Y39" s="236"/>
      <c r="Z39" s="237"/>
    </row>
    <row r="40" spans="1:26" ht="12" customHeight="1" x14ac:dyDescent="0.35">
      <c r="A40" s="197" t="s">
        <v>100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0</v>
      </c>
      <c r="F40" s="38">
        <f>IF(_xlfn.XLOOKUP(A40,OptionsTable[Name],OptionsTable[xS],,,)=FALSE,1,IF($B$4&gt;0,$E$4,1))</f>
        <v>128</v>
      </c>
      <c r="G40" s="58"/>
      <c r="H40" s="199" t="str">
        <f>IF(_xlfn.XLOOKUP(A40,OptionsTable[Name],OptionsTable[Notes],,,)="","",_xlfn.XLOOKUP(A40,OptionsTable[Name],OptionsTable[Notes],,,))</f>
        <v>+ Hostile env</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76800</v>
      </c>
      <c r="R40" s="235"/>
      <c r="S40" s="236"/>
      <c r="T40" s="236"/>
      <c r="U40" s="236"/>
      <c r="V40" s="236"/>
      <c r="W40" s="236"/>
      <c r="X40" s="236"/>
      <c r="Y40" s="236"/>
      <c r="Z40" s="237"/>
    </row>
    <row r="41" spans="1:26" ht="12" customHeight="1" x14ac:dyDescent="0.35">
      <c r="A41" s="197"/>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v>
      </c>
      <c r="G41" s="58"/>
      <c r="H41" s="199" t="str">
        <f>IF(_xlfn.XLOOKUP(A41,OptionsTable[Name],OptionsTable[Notes],,,)="","",_xlfn.XLOOKUP(A41,OptionsTable[Name],OptionsTable[Notes],,,))</f>
        <v/>
      </c>
      <c r="I41" s="200"/>
      <c r="J41" s="200"/>
      <c r="K41" s="44">
        <f>_xlfn.XLOOKUP(A41,OptionsTable[Name],OptionsTable[TL],,,)</f>
        <v>0</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0</v>
      </c>
      <c r="R41" s="235"/>
      <c r="S41" s="236"/>
      <c r="T41" s="236"/>
      <c r="U41" s="236"/>
      <c r="V41" s="236"/>
      <c r="W41" s="236"/>
      <c r="X41" s="236"/>
      <c r="Y41" s="236"/>
      <c r="Z41" s="237"/>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235"/>
      <c r="S42" s="236"/>
      <c r="T42" s="236"/>
      <c r="U42" s="236"/>
      <c r="V42" s="236"/>
      <c r="W42" s="236"/>
      <c r="X42" s="236"/>
      <c r="Y42" s="236"/>
      <c r="Z42" s="237"/>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235"/>
      <c r="S43" s="236"/>
      <c r="T43" s="236"/>
      <c r="U43" s="236"/>
      <c r="V43" s="236"/>
      <c r="W43" s="236"/>
      <c r="X43" s="236"/>
      <c r="Y43" s="236"/>
      <c r="Z43" s="237"/>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235"/>
      <c r="S44" s="236"/>
      <c r="T44" s="236"/>
      <c r="U44" s="236"/>
      <c r="V44" s="236"/>
      <c r="W44" s="236"/>
      <c r="X44" s="236"/>
      <c r="Y44" s="236"/>
      <c r="Z44" s="237"/>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235"/>
      <c r="S45" s="236"/>
      <c r="T45" s="236"/>
      <c r="U45" s="236"/>
      <c r="V45" s="236"/>
      <c r="W45" s="236"/>
      <c r="X45" s="236"/>
      <c r="Y45" s="236"/>
      <c r="Z45" s="237"/>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235"/>
      <c r="S46" s="236"/>
      <c r="T46" s="236"/>
      <c r="U46" s="236"/>
      <c r="V46" s="236"/>
      <c r="W46" s="236"/>
      <c r="X46" s="236"/>
      <c r="Y46" s="236"/>
      <c r="Z46" s="237"/>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235"/>
      <c r="S47" s="236"/>
      <c r="T47" s="236"/>
      <c r="U47" s="236"/>
      <c r="V47" s="236"/>
      <c r="W47" s="236"/>
      <c r="X47" s="236"/>
      <c r="Y47" s="236"/>
      <c r="Z47" s="237"/>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235"/>
      <c r="S48" s="236"/>
      <c r="T48" s="236"/>
      <c r="U48" s="236"/>
      <c r="V48" s="236"/>
      <c r="W48" s="236"/>
      <c r="X48" s="236"/>
      <c r="Y48" s="236"/>
      <c r="Z48" s="237"/>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235"/>
      <c r="S49" s="236"/>
      <c r="T49" s="236"/>
      <c r="U49" s="236"/>
      <c r="V49" s="236"/>
      <c r="W49" s="236"/>
      <c r="X49" s="236"/>
      <c r="Y49" s="236"/>
      <c r="Z49" s="237"/>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235"/>
      <c r="S50" s="236"/>
      <c r="T50" s="236"/>
      <c r="U50" s="236"/>
      <c r="V50" s="236"/>
      <c r="W50" s="236"/>
      <c r="X50" s="236"/>
      <c r="Y50" s="236"/>
      <c r="Z50" s="237"/>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235"/>
      <c r="S51" s="236"/>
      <c r="T51" s="236"/>
      <c r="U51" s="236"/>
      <c r="V51" s="236"/>
      <c r="W51" s="236"/>
      <c r="X51" s="236"/>
      <c r="Y51" s="236"/>
      <c r="Z51" s="237"/>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235"/>
      <c r="S52" s="236"/>
      <c r="T52" s="236"/>
      <c r="U52" s="236"/>
      <c r="V52" s="236"/>
      <c r="W52" s="236"/>
      <c r="X52" s="236"/>
      <c r="Y52" s="236"/>
      <c r="Z52" s="237"/>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235"/>
      <c r="S53" s="236"/>
      <c r="T53" s="236"/>
      <c r="U53" s="236"/>
      <c r="V53" s="236"/>
      <c r="W53" s="236"/>
      <c r="X53" s="236"/>
      <c r="Y53" s="236"/>
      <c r="Z53" s="237"/>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235"/>
      <c r="S54" s="236"/>
      <c r="T54" s="236"/>
      <c r="U54" s="236"/>
      <c r="V54" s="236"/>
      <c r="W54" s="236"/>
      <c r="X54" s="236"/>
      <c r="Y54" s="236"/>
      <c r="Z54" s="237"/>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235"/>
      <c r="S55" s="236"/>
      <c r="T55" s="236"/>
      <c r="U55" s="236"/>
      <c r="V55" s="236"/>
      <c r="W55" s="236"/>
      <c r="X55" s="236"/>
      <c r="Y55" s="236"/>
      <c r="Z55" s="237"/>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235"/>
      <c r="S56" s="236"/>
      <c r="T56" s="236"/>
      <c r="U56" s="236"/>
      <c r="V56" s="236"/>
      <c r="W56" s="236"/>
      <c r="X56" s="236"/>
      <c r="Y56" s="236"/>
      <c r="Z56" s="237"/>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235"/>
      <c r="S57" s="236"/>
      <c r="T57" s="236"/>
      <c r="U57" s="236"/>
      <c r="V57" s="236"/>
      <c r="W57" s="236"/>
      <c r="X57" s="236"/>
      <c r="Y57" s="236"/>
      <c r="Z57" s="237"/>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235"/>
      <c r="S58" s="236"/>
      <c r="T58" s="236"/>
      <c r="U58" s="236"/>
      <c r="V58" s="236"/>
      <c r="W58" s="236"/>
      <c r="X58" s="236"/>
      <c r="Y58" s="236"/>
      <c r="Z58" s="237"/>
    </row>
    <row r="59" spans="1:26" ht="12" customHeight="1" x14ac:dyDescent="0.35">
      <c r="A59" s="226" t="s">
        <v>359</v>
      </c>
      <c r="B59" s="227"/>
      <c r="C59" s="227"/>
      <c r="D59" s="227"/>
      <c r="E59" s="40"/>
      <c r="F59" s="38"/>
      <c r="G59" s="108"/>
      <c r="H59" s="228"/>
      <c r="I59" s="229"/>
      <c r="J59" s="51"/>
      <c r="K59" s="50"/>
      <c r="L59" s="51"/>
      <c r="M59" s="51"/>
      <c r="N59" s="51"/>
      <c r="P59" s="141"/>
      <c r="R59" s="235"/>
      <c r="S59" s="236"/>
      <c r="T59" s="236"/>
      <c r="U59" s="236"/>
      <c r="V59" s="236"/>
      <c r="W59" s="236"/>
      <c r="X59" s="236"/>
      <c r="Y59" s="236"/>
      <c r="Z59" s="237"/>
    </row>
    <row r="60" spans="1:26" ht="12" customHeight="1" x14ac:dyDescent="0.35">
      <c r="A60" s="197"/>
      <c r="B60" s="198"/>
      <c r="C60" s="198"/>
      <c r="D60" s="198"/>
      <c r="E60" s="40"/>
      <c r="F60" s="38"/>
      <c r="G60" s="58"/>
      <c r="H60" s="199"/>
      <c r="I60" s="219"/>
      <c r="J60" s="23"/>
      <c r="K60" s="45"/>
      <c r="L60" s="23"/>
      <c r="M60" s="23"/>
      <c r="N60" s="23"/>
      <c r="P60" s="142"/>
      <c r="R60" s="235"/>
      <c r="S60" s="236"/>
      <c r="T60" s="236"/>
      <c r="U60" s="236"/>
      <c r="V60" s="236"/>
      <c r="W60" s="236"/>
      <c r="X60" s="236"/>
      <c r="Y60" s="236"/>
      <c r="Z60" s="237"/>
    </row>
    <row r="61" spans="1:26" ht="12" customHeight="1" x14ac:dyDescent="0.35">
      <c r="A61" s="197"/>
      <c r="B61" s="198"/>
      <c r="C61" s="198"/>
      <c r="D61" s="198"/>
      <c r="E61" s="40"/>
      <c r="F61" s="38"/>
      <c r="G61" s="58"/>
      <c r="H61" s="199"/>
      <c r="I61" s="219"/>
      <c r="J61" s="23"/>
      <c r="K61" s="45"/>
      <c r="L61" s="23"/>
      <c r="M61" s="23"/>
      <c r="N61" s="23"/>
      <c r="P61" s="142"/>
      <c r="R61" s="235"/>
      <c r="S61" s="236"/>
      <c r="T61" s="236"/>
      <c r="U61" s="236"/>
      <c r="V61" s="236"/>
      <c r="W61" s="236"/>
      <c r="X61" s="236"/>
      <c r="Y61" s="236"/>
      <c r="Z61" s="237"/>
    </row>
    <row r="62" spans="1:26" ht="12" customHeight="1" thickBot="1" x14ac:dyDescent="0.4">
      <c r="E62" s="40"/>
      <c r="F62" s="38"/>
      <c r="K62" s="40"/>
      <c r="R62" s="235"/>
      <c r="S62" s="236"/>
      <c r="T62" s="236"/>
      <c r="U62" s="236"/>
      <c r="V62" s="236"/>
      <c r="W62" s="236"/>
      <c r="X62" s="236"/>
      <c r="Y62" s="236"/>
      <c r="Z62" s="237"/>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235"/>
      <c r="S63" s="236"/>
      <c r="T63" s="236"/>
      <c r="U63" s="236"/>
      <c r="V63" s="236"/>
      <c r="W63" s="236"/>
      <c r="X63" s="236"/>
      <c r="Y63" s="236"/>
      <c r="Z63" s="237"/>
    </row>
    <row r="64" spans="1:26" ht="12" customHeight="1" x14ac:dyDescent="0.35">
      <c r="A64" s="93" t="s">
        <v>309</v>
      </c>
      <c r="B64" s="226" t="s">
        <v>76</v>
      </c>
      <c r="C64" s="227"/>
      <c r="D64" s="227"/>
      <c r="E64" s="40">
        <f>IF(L64+K64-O2&gt;B4,-1,0)</f>
        <v>0</v>
      </c>
      <c r="F64" s="38"/>
      <c r="H64" s="1">
        <f>_xlfn.XLOOKUP(B64,Brains[Programming/Control],Brains[Base INT],,,)</f>
        <v>4</v>
      </c>
      <c r="I64" s="31">
        <f>IF(H64&gt;17,4,IF(H64&gt;14,3,IF(H64&gt;11,2,IF(H64&gt;8,1,IF(H64&gt;5,0,IF(H64&gt;2,-1,-2))))))</f>
        <v>-1</v>
      </c>
      <c r="J64" s="1">
        <f>_xlfn.XLOOKUP(B64,Brains[Programming/Control],Brains[Computer/X],,,)</f>
        <v>1</v>
      </c>
      <c r="K64" s="44">
        <f>_xlfn.XLOOKUP(B64,Brains[Programming/Control],Brains[TL],,,)</f>
        <v>10</v>
      </c>
      <c r="L64">
        <f>_xlfn.XLOOKUP(B64,Brains[Programming/Control],Brains[Computer/X],,,)</f>
        <v>1</v>
      </c>
      <c r="M64" s="12" t="str">
        <f>_xlfn.XLOOKUP(B64,Brains[Programming/Control],Brains[Base capability (built-in no bandwidth, cumulative)],,,)</f>
        <v>Limited language, Security/0</v>
      </c>
      <c r="N64" s="12"/>
      <c r="O64" s="12" t="str">
        <f>IF(_xlfn.XLOOKUP(B64,Brains[Programming/Control],Brains[Skill],,,)="","",_xlfn.XLOOKUP(B64,Brains[Programming/Control],Brains[Skill],,,))</f>
        <v/>
      </c>
      <c r="P64" s="137">
        <f>_xlfn.XLOOKUP(B64,Brains[Programming/Control],Brains[Cost],,,)*IF(L64&gt;2,2/(2)^(1+O2-K64),1)</f>
        <v>4000</v>
      </c>
      <c r="R64" s="235"/>
      <c r="S64" s="236"/>
      <c r="T64" s="236"/>
      <c r="U64" s="236"/>
      <c r="V64" s="236"/>
      <c r="W64" s="236"/>
      <c r="X64" s="236"/>
      <c r="Y64" s="236"/>
      <c r="Z64" s="237"/>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1</v>
      </c>
      <c r="M65" t="s">
        <v>310</v>
      </c>
      <c r="P65" s="137">
        <f>_xlfn.XLOOKUP(B65,Bandwidth[Minimum Base Brain],Bandwidth[Cost],,,)</f>
        <v>0</v>
      </c>
      <c r="R65" s="235"/>
      <c r="S65" s="236"/>
      <c r="T65" s="236"/>
      <c r="U65" s="236"/>
      <c r="V65" s="236"/>
      <c r="W65" s="236"/>
      <c r="X65" s="236"/>
      <c r="Y65" s="236"/>
      <c r="Z65" s="237"/>
    </row>
    <row r="66" spans="1:26" ht="12" customHeight="1" x14ac:dyDescent="0.35">
      <c r="A66" s="93" t="s">
        <v>708</v>
      </c>
      <c r="B66" s="29">
        <v>0</v>
      </c>
      <c r="E66" s="40"/>
      <c r="F66" s="38" cm="1">
        <f t="array" ref="F66">_xlfn.IFS(B66=0,0,B66=1,-1,B66=2,-3,B66=3,-6)</f>
        <v>0</v>
      </c>
      <c r="H66" s="6">
        <f>H64+B66</f>
        <v>4</v>
      </c>
      <c r="I66" s="15">
        <f>IF(H66&gt;17,4,IF(H66&gt;14,3,IF(H66&gt;11,2,IF(H66&gt;8,1,IF(H66&gt;5,0,IF(H66&gt;2,-1,-2))))))</f>
        <v>-1</v>
      </c>
      <c r="K66" s="44"/>
      <c r="L66" s="56">
        <f>L65+F66</f>
        <v>1</v>
      </c>
      <c r="M66" t="s">
        <v>310</v>
      </c>
      <c r="P66" s="137" cm="1">
        <f t="array" ref="P66">_xlfn.IFS(B66=0,0,B66=1,(H64+1)*1000,B66=2,(H64+1)*(H64+2)*1000,B66=3,(H64+1)*(H64+2)*(H64+3)*1000)*IF(H66&gt;11,2,1)</f>
        <v>0</v>
      </c>
      <c r="R66" s="235"/>
      <c r="S66" s="236"/>
      <c r="T66" s="236"/>
      <c r="U66" s="236"/>
      <c r="V66" s="236"/>
      <c r="W66" s="236"/>
      <c r="X66" s="236"/>
      <c r="Y66" s="236"/>
      <c r="Z66" s="237"/>
    </row>
    <row r="67" spans="1:26" ht="12" customHeight="1" thickBot="1" x14ac:dyDescent="0.4">
      <c r="A67" s="93" t="s">
        <v>308</v>
      </c>
      <c r="B67" s="28" t="b">
        <v>0</v>
      </c>
      <c r="C67" s="24"/>
      <c r="D67" s="24"/>
      <c r="E67" s="41"/>
      <c r="F67" s="39"/>
      <c r="G67" s="24"/>
      <c r="H67" s="47"/>
      <c r="I67" s="24"/>
      <c r="J67" s="105">
        <f>J64-COUNTIF(G73:G90,0)</f>
        <v>1</v>
      </c>
      <c r="K67" s="43"/>
      <c r="L67" s="57">
        <f>L66-SUM(G69:G90)</f>
        <v>0</v>
      </c>
      <c r="M67" s="24" t="s">
        <v>312</v>
      </c>
      <c r="N67" s="25" t="str">
        <f>IF(B67,"Hardened, ","")</f>
        <v/>
      </c>
      <c r="O67" s="24"/>
      <c r="P67" s="136">
        <f>B67*(P65+P64)*0.5</f>
        <v>0</v>
      </c>
      <c r="R67" s="235"/>
      <c r="S67" s="236"/>
      <c r="T67" s="236"/>
      <c r="U67" s="236"/>
      <c r="V67" s="236"/>
      <c r="W67" s="236"/>
      <c r="X67" s="236"/>
      <c r="Y67" s="236"/>
      <c r="Z67" s="237"/>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235"/>
      <c r="S68" s="236"/>
      <c r="T68" s="236"/>
      <c r="U68" s="236"/>
      <c r="V68" s="236"/>
      <c r="W68" s="236"/>
      <c r="X68" s="236"/>
      <c r="Y68" s="236"/>
      <c r="Z68" s="237"/>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235"/>
      <c r="S69" s="236"/>
      <c r="T69" s="236"/>
      <c r="U69" s="236"/>
      <c r="V69" s="236"/>
      <c r="W69" s="236"/>
      <c r="X69" s="236"/>
      <c r="Y69" s="236"/>
      <c r="Z69" s="237"/>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235"/>
      <c r="S70" s="236"/>
      <c r="T70" s="236"/>
      <c r="U70" s="236"/>
      <c r="V70" s="236"/>
      <c r="W70" s="236"/>
      <c r="X70" s="236"/>
      <c r="Y70" s="236"/>
      <c r="Z70" s="237"/>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235"/>
      <c r="S71" s="236"/>
      <c r="T71" s="236"/>
      <c r="U71" s="236"/>
      <c r="V71" s="236"/>
      <c r="W71" s="236"/>
      <c r="X71" s="236"/>
      <c r="Y71" s="236"/>
      <c r="Z71" s="237"/>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235"/>
      <c r="S72" s="236"/>
      <c r="T72" s="236"/>
      <c r="U72" s="236"/>
      <c r="V72" s="236"/>
      <c r="W72" s="236"/>
      <c r="X72" s="236"/>
      <c r="Y72" s="236"/>
      <c r="Z72" s="237"/>
    </row>
    <row r="73" spans="1:26" ht="12" customHeight="1" x14ac:dyDescent="0.35">
      <c r="A73" s="48" t="s">
        <v>131</v>
      </c>
      <c r="B73" s="228"/>
      <c r="C73" s="229"/>
      <c r="D73" s="58">
        <v>1</v>
      </c>
      <c r="E73" s="40"/>
      <c r="G73" s="59">
        <f>IF(A73="N/A","",D73+_xlfn.XLOOKUP(A73,StandardBrain[Name],StandardBrain[Bandwidth],,,))</f>
        <v>1</v>
      </c>
      <c r="I73" s="59" t="str">
        <f>_xlfn.XLOOKUP(A73,StandardBrain[Name],StandardBrain[Characteristic],,,)</f>
        <v>INT</v>
      </c>
      <c r="K73" s="44">
        <f>_xlfn.XLOOKUP(A73,StandardBrain[Name],StandardBrain[TL],,,)+D73</f>
        <v>10</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0, </v>
      </c>
      <c r="P73" s="137">
        <f>_xlfn.XLOOKUP(A73,StandardBrain[Name],StandardBrain[Cr],,,)*10^(D73)</f>
        <v>2000</v>
      </c>
      <c r="R73" s="235"/>
      <c r="S73" s="236"/>
      <c r="T73" s="236"/>
      <c r="U73" s="236"/>
      <c r="V73" s="236"/>
      <c r="W73" s="236"/>
      <c r="X73" s="236"/>
      <c r="Y73" s="236"/>
      <c r="Z73" s="237"/>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235"/>
      <c r="S74" s="236"/>
      <c r="T74" s="236"/>
      <c r="U74" s="236"/>
      <c r="V74" s="236"/>
      <c r="W74" s="236"/>
      <c r="X74" s="236"/>
      <c r="Y74" s="236"/>
      <c r="Z74" s="237"/>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238"/>
      <c r="S75" s="239"/>
      <c r="T75" s="239"/>
      <c r="U75" s="239"/>
      <c r="V75" s="239"/>
      <c r="W75" s="239"/>
      <c r="X75" s="239"/>
      <c r="Y75" s="239"/>
      <c r="Z75" s="240"/>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161200</v>
      </c>
    </row>
    <row r="92" spans="1:16" ht="12" customHeight="1" thickBot="1" x14ac:dyDescent="0.45">
      <c r="B92" s="111"/>
      <c r="O92" s="149" t="str">
        <f>CONCATENATE("Cost With "&amp;X6*100 &amp; "% Discount")</f>
        <v>Cost With 10% Discount</v>
      </c>
      <c r="P92" s="147">
        <f>P2</f>
        <v>145000</v>
      </c>
    </row>
    <row r="93" spans="1:16" ht="12" customHeight="1" x14ac:dyDescent="0.35">
      <c r="A93" s="110"/>
      <c r="B93" s="112"/>
    </row>
  </sheetData>
  <sortState xmlns:xlrd2="http://schemas.microsoft.com/office/spreadsheetml/2017/richdata2" ref="A36:D41">
    <sortCondition ref="A36:A41"/>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29" priority="6">
      <formula>ABS($J$14-6) &gt; 6</formula>
    </cfRule>
  </conditionalFormatting>
  <conditionalFormatting sqref="E2">
    <cfRule type="expression" dxfId="28" priority="4">
      <formula>$E$2&lt;0</formula>
    </cfRule>
  </conditionalFormatting>
  <conditionalFormatting sqref="E15:E17">
    <cfRule type="expression" dxfId="27" priority="1">
      <formula>AND($B$4=0,E15&lt;0)</formula>
    </cfRule>
  </conditionalFormatting>
  <conditionalFormatting sqref="K5 K30:K34 K36:K57 K59:K61 K64:K67 K73:K90">
    <cfRule type="expression" dxfId="26" priority="5">
      <formula>K5&gt;$O$2</formula>
    </cfRule>
  </conditionalFormatting>
  <conditionalFormatting sqref="L57">
    <cfRule type="expression" dxfId="25" priority="2">
      <formula>L57&gt;$O$2</formula>
    </cfRule>
  </conditionalFormatting>
  <conditionalFormatting sqref="L67">
    <cfRule type="expression" dxfId="24" priority="3">
      <formula>L67&lt;0</formula>
    </cfRule>
  </conditionalFormatting>
  <dataValidations count="20">
    <dataValidation type="whole" allowBlank="1" showInputMessage="1" showErrorMessage="1" error="Must be a negative number no less than a 50% of the base hits" sqref="B11" xr:uid="{CF7B212A-9A14-4DF6-BC63-E1B1C4540FB9}">
      <formula1>-J4/2</formula1>
      <formula2>0</formula2>
    </dataValidation>
    <dataValidation type="whole" allowBlank="1" showInputMessage="1" showErrorMessage="1" error="Must be whole number. No more than 50% of slots may be used for Resiliency" sqref="B10" xr:uid="{AFD9E5B0-DEED-4A30-B7B2-5F0F6BDA25F2}">
      <formula1>0</formula1>
      <formula2>E4/2</formula2>
    </dataValidation>
    <dataValidation type="whole" allowBlank="1" showInputMessage="1" showErrorMessage="1" sqref="E11" xr:uid="{8F83FF3D-B313-4B19-AA88-B320809E35DF}">
      <formula1>0</formula1>
      <formula2>J4/2</formula2>
    </dataValidation>
    <dataValidation type="list" allowBlank="1" showInputMessage="1" showErrorMessage="1" error="Maximum = 3" sqref="B9" xr:uid="{00CC5441-CED6-4648-AE7B-007DC84785A6}">
      <formula1>"0,1,2,3"</formula1>
    </dataValidation>
    <dataValidation type="list" allowBlank="1" showInputMessage="1" showErrorMessage="1" sqref="B4" xr:uid="{B657BD07-4243-49DA-B1BA-4C5CC55DA1E1}">
      <formula1>"0,1,2,3,4,5,6,7,8"</formula1>
    </dataValidation>
    <dataValidation type="list" allowBlank="1" showInputMessage="1" showErrorMessage="1" sqref="O2" xr:uid="{E72B4DFE-2FDA-4F49-912E-811B17AE2820}">
      <formula1>"7,8,9,10,11,12,13,14,15,16,17,18"</formula1>
    </dataValidation>
    <dataValidation type="whole" allowBlank="1" showInputMessage="1" showErrorMessage="1" error="Max Manipulator Size = Chassis Size +2_x000a_Min Manipulator Size = 0_x000a_Whole Numbers Only" sqref="B19:B26" xr:uid="{DFF01F7C-3BBF-43C7-9E9B-A1C0F2476D07}">
      <formula1>0</formula1>
      <formula2>$B$4+2</formula2>
    </dataValidation>
    <dataValidation type="list" allowBlank="1" showInputMessage="1" showErrorMessage="1" sqref="B27:B28 B67 B8" xr:uid="{BA9702F2-8FD1-482F-81A6-472F16000639}">
      <formula1>"TRUE,FALSE"</formula1>
    </dataValidation>
    <dataValidation type="list" allowBlank="1" showInputMessage="1" showErrorMessage="1" sqref="B13" xr:uid="{B8A7E789-1995-4CB5-BE51-8AD42787ED6A}">
      <formula1>"0,1,2,3,4"</formula1>
    </dataValidation>
    <dataValidation type="list" allowBlank="1" showInputMessage="1" showErrorMessage="1" sqref="D73:D90 B66" xr:uid="{CCB03CF6-A838-47BE-B52E-78AC45BBC490}">
      <formula1>"0,1,2,3"</formula1>
    </dataValidation>
    <dataValidation type="list" allowBlank="1" showInputMessage="1" showErrorMessage="1" sqref="B15" xr:uid="{F474ABF2-7BB3-4949-B446-1B9D936A95DD}">
      <formula1>"FALSE,TRUE"</formula1>
    </dataValidation>
    <dataValidation type="list" allowBlank="1" showInputMessage="1" showErrorMessage="1" sqref="B16" xr:uid="{C07D6D07-DC36-4D8F-8D29-1BC7B220BB21}">
      <formula1>"No,1X,2X,3X"</formula1>
    </dataValidation>
    <dataValidation type="whole" allowBlank="1" showInputMessage="1" showErrorMessage="1" error="Must be whole number between -6 and +12" sqref="B14" xr:uid="{51E87BE2-68F7-46C4-A93D-6226E704EFB6}">
      <formula1>-6</formula1>
      <formula2>12</formula2>
    </dataValidation>
    <dataValidation type="whole" allowBlank="1" showInputMessage="1" showErrorMessage="1" sqref="C11:D11" xr:uid="{A72AD263-2FBD-4ED8-B19C-B303C180B3A8}">
      <formula1>0</formula1>
      <formula2>D4/2</formula2>
    </dataValidation>
    <dataValidation type="whole" allowBlank="1" showInputMessage="1" showErrorMessage="1" sqref="C13:D13" xr:uid="{0F0D8651-160D-46BC-9FDB-BEFE662C7281}">
      <formula1>0</formula1>
      <formula2>D5/2</formula2>
    </dataValidation>
    <dataValidation type="whole" allowBlank="1" showInputMessage="1" showErrorMessage="1" sqref="C14:D14" xr:uid="{3BB8527E-4E86-4735-AB71-1A2312E3F858}">
      <formula1>0</formula1>
      <formula2>D15/2</formula2>
    </dataValidation>
    <dataValidation type="whole" allowBlank="1" showInputMessage="1" showErrorMessage="1" sqref="E13:E14" xr:uid="{C783A3FC-238D-4D53-846C-26C686CEEC66}">
      <formula1>0</formula1>
      <formula2>#REF!/2</formula2>
    </dataValidation>
    <dataValidation type="whole" allowBlank="1" showInputMessage="1" showErrorMessage="1" error="Max STR = Lesser of Size + TL or SIZE X 4" sqref="G19:G28" xr:uid="{0250C86F-1FBA-43B8-B3CA-D0BA831E5E40}">
      <formula1>0</formula1>
      <formula2>F19-C19</formula2>
    </dataValidation>
    <dataValidation type="whole" allowBlank="1" showInputMessage="1" showErrorMessage="1" error="Max DEX = TL+3" sqref="K19:K28" xr:uid="{B6F69CB9-811C-4F10-AF62-10E23A1285D8}">
      <formula1>0</formula1>
      <formula2>J19-D19</formula2>
    </dataValidation>
    <dataValidation type="whole" allowBlank="1" showInputMessage="1" showErrorMessage="1" error="Total Armour cannot exceed Maximum" sqref="B7" xr:uid="{92EF9C5B-84D2-4D05-90BF-4AA47D3BC7D3}">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3FA350BF-B5A9-471B-99E5-FD3CBE4E5DBB}">
          <x14:formula1>
            <xm:f>Options!$C$9:$C$71</xm:f>
          </x14:formula1>
          <xm:sqref>A30:A34</xm:sqref>
        </x14:dataValidation>
        <x14:dataValidation type="list" allowBlank="1" showInputMessage="1" showErrorMessage="1" xr:uid="{14CB6A50-2603-4520-B0B0-960E957931CF}">
          <x14:formula1>
            <xm:f>Packages!$B$29:$B$82</xm:f>
          </x14:formula1>
          <xm:sqref>A73:A90</xm:sqref>
        </x14:dataValidation>
        <x14:dataValidation type="list" allowBlank="1" showInputMessage="1" showErrorMessage="1" xr:uid="{822553B5-F38E-47DE-9641-4E35BF3CE671}">
          <x14:formula1>
            <xm:f>Chassis!$H$3:$H$13</xm:f>
          </x14:formula1>
          <xm:sqref>B17 B5</xm:sqref>
        </x14:dataValidation>
        <x14:dataValidation type="list" allowBlank="1" showInputMessage="1" showErrorMessage="1" xr:uid="{5D4E27FD-6A71-4AC3-AA24-15872DDD20E6}">
          <x14:formula1>
            <xm:f>Packages!$B$11:$B$19</xm:f>
          </x14:formula1>
          <xm:sqref>B70</xm:sqref>
        </x14:dataValidation>
        <x14:dataValidation type="list" allowBlank="1" showInputMessage="1" showErrorMessage="1" xr:uid="{F60EBA7C-CC1E-459F-A511-1AE57A1AF681}">
          <x14:formula1>
            <xm:f>Brains!$B$3:$B$19</xm:f>
          </x14:formula1>
          <xm:sqref>B64</xm:sqref>
        </x14:dataValidation>
        <x14:dataValidation type="list" allowBlank="1" showInputMessage="1" showErrorMessage="1" xr:uid="{FC9114CD-757C-4F5C-A334-95DEF7E81472}">
          <x14:formula1>
            <xm:f>Packages!$B$3:$B$7</xm:f>
          </x14:formula1>
          <xm:sqref>B69</xm:sqref>
        </x14:dataValidation>
        <x14:dataValidation type="list" allowBlank="1" showInputMessage="1" showErrorMessage="1" xr:uid="{CEB4C075-04D7-42E5-AD46-28C86C008B30}">
          <x14:formula1>
            <xm:f>Packages!$B$23:$B$25</xm:f>
          </x14:formula1>
          <xm:sqref>B71</xm:sqref>
        </x14:dataValidation>
        <x14:dataValidation type="list" allowBlank="1" showInputMessage="1" showErrorMessage="1" xr:uid="{FA2CD666-57C4-4C39-A107-55532DAE0C6D}">
          <x14:formula1>
            <xm:f>Brains!$K$3:$K$16</xm:f>
          </x14:formula1>
          <xm:sqref>B65</xm:sqref>
        </x14:dataValidation>
        <x14:dataValidation type="list" allowBlank="1" showInputMessage="1" showErrorMessage="1" xr:uid="{0F8B0358-1726-40FE-B6DF-58E146B97DA2}">
          <x14:formula1>
            <xm:f>Options!$C$9:$C$256</xm:f>
          </x14:formula1>
          <xm:sqref>A36:A56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9B07-6C3D-4D93-8F25-A9BBBDC610E4}">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866</v>
      </c>
      <c r="C2" s="204"/>
      <c r="D2" s="205"/>
      <c r="E2" s="36">
        <f>SUM(E5:E90)+E4</f>
        <v>0</v>
      </c>
      <c r="F2" s="206" t="s">
        <v>184</v>
      </c>
      <c r="G2" s="207"/>
      <c r="H2" s="208"/>
      <c r="I2" s="203" t="s">
        <v>776</v>
      </c>
      <c r="J2" s="204"/>
      <c r="K2" s="204"/>
      <c r="L2" s="204"/>
      <c r="M2" s="204"/>
      <c r="N2" s="79" t="s">
        <v>315</v>
      </c>
      <c r="O2" s="37">
        <v>12</v>
      </c>
      <c r="P2" s="151">
        <f>Z6</f>
        <v>173700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20</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Improved Emergency AutoBerth (Long Duration)</v>
      </c>
      <c r="S6" s="144">
        <f>M11</f>
        <v>72</v>
      </c>
      <c r="T6" s="144" t="str">
        <f>B5</f>
        <v>None</v>
      </c>
      <c r="U6" s="144" t="str">
        <f>_xlfn.CONCAT(J14," m")</f>
        <v>0 m</v>
      </c>
      <c r="V6" s="145">
        <f>O2</f>
        <v>12</v>
      </c>
      <c r="W6" s="150">
        <f>P91</f>
        <v>193000</v>
      </c>
      <c r="X6" s="152">
        <f>IF(I2="Standard Design",0.1,0)</f>
        <v>0.1</v>
      </c>
      <c r="Y6" s="153">
        <v>2</v>
      </c>
      <c r="Z6" s="148">
        <f>FLOOR(P91*(1-X6),100)</f>
        <v>173700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Athletics (endurance) 3, Medic 2,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-39</v>
      </c>
      <c r="F9" s="38"/>
      <c r="G9" s="178" t="s">
        <v>302</v>
      </c>
      <c r="H9" s="178"/>
      <c r="I9" s="179"/>
      <c r="J9" s="52">
        <f>J8*(1+B9)</f>
        <v>2592</v>
      </c>
      <c r="K9" s="177" t="s">
        <v>64</v>
      </c>
      <c r="L9" s="178"/>
      <c r="M9" s="179"/>
      <c r="O9" s="5" t="str">
        <f>IF(B9&gt;0,_xlfn.CONCAT("Athletics (endurance) ",B9,", "),"")</f>
        <v xml:space="preserve">Athletics (endurance) 3, </v>
      </c>
      <c r="P9" s="137">
        <f>-500*E9</f>
        <v>19500</v>
      </c>
      <c r="R9" s="116" t="s">
        <v>49</v>
      </c>
      <c r="S9" s="162" t="str">
        <f>IF(COUNT(B19:B26)=0,"none",_xlfn.CONCAT(COUNT(B19:B26), " X (STR ",H19," DEX ",L19,")"))</f>
        <v>5 X (STR 5 DEX 7)</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2592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8)</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(enhanced), Storage Compartment (refrigerated), Vacuum Environment Protection,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2592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7</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15</v>
      </c>
      <c r="K19" s="16">
        <v>0</v>
      </c>
      <c r="L19" s="61">
        <f t="shared" ref="L19:L28" si="5">D19+K19</f>
        <v>7</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7</v>
      </c>
      <c r="E20" s="101" cm="1">
        <f t="array" ref="E20">ROUNDUP(_xlfn.IFS($B$4-B20=0,0,$B$4-B20=1,$E$4*0.05,$B$4-B20=2,$E$4*0.08,$B$4-B20=3,$E$4*0.09,$B$4-B20&gt;3,$E$4*0.1,$B$4-B20&lt;0,$E$4*0.1*($B$4-B20)),0)</f>
        <v>13</v>
      </c>
      <c r="F20" s="54">
        <f t="shared" si="1"/>
        <v>10</v>
      </c>
      <c r="G20" s="16"/>
      <c r="H20" s="6">
        <f t="shared" si="2"/>
        <v>5</v>
      </c>
      <c r="I20" s="21">
        <f t="shared" si="3"/>
        <v>-1</v>
      </c>
      <c r="J20" s="54">
        <f t="shared" si="4"/>
        <v>15</v>
      </c>
      <c r="K20" s="16"/>
      <c r="L20" s="6">
        <f t="shared" si="5"/>
        <v>7</v>
      </c>
      <c r="M20" s="21">
        <f t="shared" si="6"/>
        <v>0</v>
      </c>
      <c r="O20" s="5" t="str">
        <f t="shared" si="7"/>
        <v/>
      </c>
      <c r="P20" s="137">
        <f>IF((B20-$B$4)*100&gt;-0.2*$P$5,(B20-$B$4)*100,-0.2*$P$5)+B20*100*(G20)^2+B20*200*(K20)^2</f>
        <v>-500</v>
      </c>
      <c r="R20" s="232" t="s">
        <v>876</v>
      </c>
      <c r="S20" s="189"/>
      <c r="T20" s="189"/>
      <c r="U20" s="189"/>
      <c r="V20" s="189"/>
      <c r="W20" s="189"/>
      <c r="X20" s="189"/>
      <c r="Y20" s="189"/>
      <c r="Z20" s="190"/>
    </row>
    <row r="21" spans="1:26" ht="12" customHeight="1" x14ac:dyDescent="0.35">
      <c r="A21" s="93" t="s">
        <v>52</v>
      </c>
      <c r="B21" s="30">
        <v>3</v>
      </c>
      <c r="C21" s="6">
        <f t="shared" si="0"/>
        <v>5</v>
      </c>
      <c r="D21" s="97">
        <f t="shared" si="8"/>
        <v>7</v>
      </c>
      <c r="E21" s="101" cm="1">
        <f t="array" ref="E21">IF(B21=0,0,ROUNDUP(_xlfn.IFS($B$4-B21=0,-$E$4*0.1,$B$4-B21=1,-$E$4*0.05,$B$4-B21=2,-$E$4*0.02,$B$4-B21=3,-$E$4*0.01,$B$4-B21&gt;3,-$E$4*0.01,$B$4-B21&lt;0,$E$4*0.2*($B$4-B21)),0))</f>
        <v>-2</v>
      </c>
      <c r="F21" s="54">
        <f t="shared" si="1"/>
        <v>10</v>
      </c>
      <c r="G21" s="16"/>
      <c r="H21" s="6">
        <f t="shared" si="2"/>
        <v>5</v>
      </c>
      <c r="I21" s="21">
        <f t="shared" si="3"/>
        <v>-1</v>
      </c>
      <c r="J21" s="54">
        <f t="shared" si="4"/>
        <v>15</v>
      </c>
      <c r="K21" s="16"/>
      <c r="L21" s="6">
        <f t="shared" si="5"/>
        <v>7</v>
      </c>
      <c r="M21" s="21">
        <f t="shared" si="6"/>
        <v>0</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7</v>
      </c>
      <c r="E22" s="101" cm="1">
        <f t="array" ref="E22">IF(B22=0,0,ROUNDUP(_xlfn.IFS($B$4-B22=0,-$E$4*0.1,$B$4-B22=1,-$E$4*0.05,$B$4-B22=2,-$E$4*0.02,$B$4-B22=3,-$E$4*0.01,$B$4-B22&gt;3,-$E$4*0.01,$B$4-B22&lt;0,$E$4*0.2*($B$4-B22)),0))</f>
        <v>-2</v>
      </c>
      <c r="F22" s="54">
        <f t="shared" si="1"/>
        <v>10</v>
      </c>
      <c r="G22" s="16"/>
      <c r="H22" s="6">
        <f t="shared" si="2"/>
        <v>5</v>
      </c>
      <c r="I22" s="21">
        <f t="shared" si="3"/>
        <v>-1</v>
      </c>
      <c r="J22" s="54">
        <f t="shared" si="4"/>
        <v>15</v>
      </c>
      <c r="K22" s="16"/>
      <c r="L22" s="6">
        <f t="shared" si="5"/>
        <v>7</v>
      </c>
      <c r="M22" s="21">
        <f t="shared" si="6"/>
        <v>0</v>
      </c>
      <c r="O22" s="5" t="str">
        <f t="shared" si="7"/>
        <v/>
      </c>
      <c r="P22" s="137">
        <f t="shared" si="9"/>
        <v>300</v>
      </c>
      <c r="R22" s="191"/>
      <c r="S22" s="192"/>
      <c r="T22" s="192"/>
      <c r="U22" s="192"/>
      <c r="V22" s="192"/>
      <c r="W22" s="192"/>
      <c r="X22" s="192"/>
      <c r="Y22" s="192"/>
      <c r="Z22" s="193"/>
    </row>
    <row r="23" spans="1:26" ht="12" customHeight="1" x14ac:dyDescent="0.35">
      <c r="A23" s="93" t="s">
        <v>54</v>
      </c>
      <c r="B23" s="30">
        <v>3</v>
      </c>
      <c r="C23" s="6">
        <f t="shared" si="0"/>
        <v>5</v>
      </c>
      <c r="D23" s="97">
        <f t="shared" si="8"/>
        <v>7</v>
      </c>
      <c r="E23" s="101" cm="1">
        <f t="array" ref="E23">IF(B23=0,0,ROUNDUP(_xlfn.IFS($B$4-B23=0,-$E$4*0.1,$B$4-B23=1,-$E$4*0.05,$B$4-B23=2,-$E$4*0.02,$B$4-B23=3,-$E$4*0.01,$B$4-B23&gt;3,-$E$4*0.01,$B$4-B23&lt;0,$E$4*0.2*($B$4-B23)),0))</f>
        <v>-2</v>
      </c>
      <c r="F23" s="54">
        <f t="shared" si="1"/>
        <v>10</v>
      </c>
      <c r="G23" s="16"/>
      <c r="H23" s="6">
        <f t="shared" si="2"/>
        <v>5</v>
      </c>
      <c r="I23" s="21">
        <f t="shared" si="3"/>
        <v>-1</v>
      </c>
      <c r="J23" s="54">
        <f t="shared" si="4"/>
        <v>15</v>
      </c>
      <c r="K23" s="16"/>
      <c r="L23" s="6">
        <f t="shared" si="5"/>
        <v>7</v>
      </c>
      <c r="M23" s="21">
        <f t="shared" si="6"/>
        <v>0</v>
      </c>
      <c r="O23" s="5" t="str">
        <f t="shared" si="7"/>
        <v/>
      </c>
      <c r="P23" s="137">
        <f t="shared" si="9"/>
        <v>300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15</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15</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15</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15</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15</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-128</v>
      </c>
      <c r="F37" s="38">
        <f>IF(_xlfn.XLOOKUP(A37,OptionsTable[Name],OptionsTable[xS],,,)=FALSE,1,IF($B$4&gt;0,$E$4,1))</f>
        <v>1</v>
      </c>
      <c r="G37" s="58">
        <v>128</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25600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202</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2 max skill</v>
      </c>
      <c r="I39" s="200"/>
      <c r="J39" s="200"/>
      <c r="K39" s="44">
        <f>_xlfn.XLOOKUP(A39,OptionsTable[Name],OptionsTable[TL],,,)</f>
        <v>12</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5000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100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128</v>
      </c>
      <c r="G41" s="58"/>
      <c r="H41" s="199" t="str">
        <f>IF(_xlfn.XLOOKUP(A41,OptionsTable[Name],OptionsTable[Notes],,,)="","",_xlfn.XLOOKUP(A41,OptionsTable[Name],OptionsTable[Notes],,,))</f>
        <v>+ Hostile env</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76800</v>
      </c>
      <c r="R41" s="191"/>
      <c r="S41" s="192"/>
      <c r="T41" s="192"/>
      <c r="U41" s="192"/>
      <c r="V41" s="192"/>
      <c r="W41" s="192"/>
      <c r="X41" s="192"/>
      <c r="Y41" s="192"/>
      <c r="Z41" s="193"/>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241"/>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2</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8</v>
      </c>
      <c r="I66" s="15">
        <f>IF(H66&gt;17,4,IF(H66&gt;14,3,IF(H66&gt;11,2,IF(H66&gt;8,1,IF(H66&gt;5,0,IF(H66&gt;2,-1,-2))))))</f>
        <v>0</v>
      </c>
      <c r="K66" s="44"/>
      <c r="L66" s="56">
        <f>L65+F66</f>
        <v>2</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2,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193000</v>
      </c>
    </row>
    <row r="92" spans="1:16" ht="12" customHeight="1" thickBot="1" x14ac:dyDescent="0.45">
      <c r="A92" s="7"/>
      <c r="O92" s="149" t="str">
        <f>CONCATENATE("Cost With "&amp;X6*100 &amp; "% Discount")</f>
        <v>Cost With 10% Discount</v>
      </c>
      <c r="P92" s="147">
        <f>P2</f>
        <v>173700</v>
      </c>
    </row>
    <row r="93" spans="1:16" ht="12" customHeight="1" x14ac:dyDescent="0.35">
      <c r="B93" s="110"/>
    </row>
    <row r="94" spans="1:16" ht="12" customHeight="1" x14ac:dyDescent="0.4">
      <c r="B94" s="111"/>
    </row>
    <row r="95" spans="1:16" ht="12" customHeight="1" x14ac:dyDescent="0.35">
      <c r="A95" s="110"/>
      <c r="B95" s="112"/>
    </row>
  </sheetData>
  <sortState xmlns:xlrd2="http://schemas.microsoft.com/office/spreadsheetml/2017/richdata2" ref="A36:D42">
    <sortCondition ref="A36:A42"/>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23" priority="6">
      <formula>ABS($J$14-6) &gt; 6</formula>
    </cfRule>
  </conditionalFormatting>
  <conditionalFormatting sqref="E2">
    <cfRule type="expression" dxfId="22" priority="4">
      <formula>$E$2&lt;0</formula>
    </cfRule>
  </conditionalFormatting>
  <conditionalFormatting sqref="E15:E17">
    <cfRule type="expression" dxfId="21" priority="1">
      <formula>AND($B$4=0,E15&lt;0)</formula>
    </cfRule>
  </conditionalFormatting>
  <conditionalFormatting sqref="K5 K30:K34 K36:K57 K59:K61 K64:K67 K73:K90">
    <cfRule type="expression" dxfId="20" priority="5">
      <formula>K5&gt;$O$2</formula>
    </cfRule>
  </conditionalFormatting>
  <conditionalFormatting sqref="L57">
    <cfRule type="expression" dxfId="19" priority="2">
      <formula>L57&gt;$O$2</formula>
    </cfRule>
  </conditionalFormatting>
  <conditionalFormatting sqref="L67">
    <cfRule type="expression" dxfId="18" priority="3">
      <formula>L67&lt;0</formula>
    </cfRule>
  </conditionalFormatting>
  <dataValidations count="20">
    <dataValidation type="whole" allowBlank="1" showInputMessage="1" showErrorMessage="1" error="Must be a negative number no less than a 50% of the base hits" sqref="B11" xr:uid="{1E9B80C8-6453-426D-92E2-10D1AA144237}">
      <formula1>-J4/2</formula1>
      <formula2>0</formula2>
    </dataValidation>
    <dataValidation type="whole" allowBlank="1" showInputMessage="1" showErrorMessage="1" error="Must be whole number. No more than 50% of slots may be used for Resiliency" sqref="B10" xr:uid="{71FDE044-6631-4515-AD63-988128554799}">
      <formula1>0</formula1>
      <formula2>E4/2</formula2>
    </dataValidation>
    <dataValidation type="whole" allowBlank="1" showInputMessage="1" showErrorMessage="1" sqref="E11" xr:uid="{D5B8D117-9027-4EE9-91DE-AD1F6B87F8A2}">
      <formula1>0</formula1>
      <formula2>J4/2</formula2>
    </dataValidation>
    <dataValidation type="list" allowBlank="1" showInputMessage="1" showErrorMessage="1" error="Maximum = 3" sqref="B9" xr:uid="{8472AA06-E5FF-4251-8958-CE7C23AF574E}">
      <formula1>"0,1,2,3"</formula1>
    </dataValidation>
    <dataValidation type="list" allowBlank="1" showInputMessage="1" showErrorMessage="1" sqref="B4" xr:uid="{7BEB3032-6D75-4AC6-AB07-8844C3023F9F}">
      <formula1>"0,1,2,3,4,5,6,7,8"</formula1>
    </dataValidation>
    <dataValidation type="list" allowBlank="1" showInputMessage="1" showErrorMessage="1" sqref="O2" xr:uid="{E2BEC6FC-5DB1-49D0-A842-213649C68B62}">
      <formula1>"7,8,9,10,11,12,13,14,15,16,17,18"</formula1>
    </dataValidation>
    <dataValidation type="whole" allowBlank="1" showInputMessage="1" showErrorMessage="1" error="Max Manipulator Size = Chassis Size +2_x000a_Min Manipulator Size = 0_x000a_Whole Numbers Only" sqref="B19:B26" xr:uid="{AC7F1DE7-1B49-4DBE-94FD-EA7D12AC1BCD}">
      <formula1>0</formula1>
      <formula2>$B$4+2</formula2>
    </dataValidation>
    <dataValidation type="list" allowBlank="1" showInputMessage="1" showErrorMessage="1" sqref="B27:B28 B67 B8" xr:uid="{9D6A4E71-B78B-40E3-8132-50DB1754C168}">
      <formula1>"TRUE,FALSE"</formula1>
    </dataValidation>
    <dataValidation type="list" allowBlank="1" showInputMessage="1" showErrorMessage="1" sqref="B13" xr:uid="{0DD57A32-8E75-403F-BC27-16707EDBEE40}">
      <formula1>"0,1,2,3,4"</formula1>
    </dataValidation>
    <dataValidation type="list" allowBlank="1" showInputMessage="1" showErrorMessage="1" sqref="D73:D90 B66" xr:uid="{BB037713-5621-41FB-9529-16B74003E14B}">
      <formula1>"0,1,2,3"</formula1>
    </dataValidation>
    <dataValidation type="list" allowBlank="1" showInputMessage="1" showErrorMessage="1" sqref="B15" xr:uid="{F8903952-15C3-4B5C-9405-D3584041D9F5}">
      <formula1>"FALSE,TRUE"</formula1>
    </dataValidation>
    <dataValidation type="list" allowBlank="1" showInputMessage="1" showErrorMessage="1" sqref="B16" xr:uid="{6A2B6DBD-4086-4780-BCDF-00ED01A4AEDD}">
      <formula1>"No,1X,2X,3X"</formula1>
    </dataValidation>
    <dataValidation type="whole" allowBlank="1" showInputMessage="1" showErrorMessage="1" error="Must be whole number between -6 and +12" sqref="B14" xr:uid="{CF122DF3-1C03-4C67-ADF3-CF474015BE65}">
      <formula1>-6</formula1>
      <formula2>12</formula2>
    </dataValidation>
    <dataValidation type="whole" allowBlank="1" showInputMessage="1" showErrorMessage="1" sqref="C11:D11" xr:uid="{E54743F3-A577-4DBA-B5A7-BB1ECD2D0B19}">
      <formula1>0</formula1>
      <formula2>D4/2</formula2>
    </dataValidation>
    <dataValidation type="whole" allowBlank="1" showInputMessage="1" showErrorMessage="1" sqref="C13:D13" xr:uid="{C88E85EA-0ABF-4CED-9B3D-A44D58B7C18F}">
      <formula1>0</formula1>
      <formula2>D5/2</formula2>
    </dataValidation>
    <dataValidation type="whole" allowBlank="1" showInputMessage="1" showErrorMessage="1" sqref="C14:D14" xr:uid="{BA142E3F-4177-4DA7-A6E1-9806CBD07504}">
      <formula1>0</formula1>
      <formula2>D15/2</formula2>
    </dataValidation>
    <dataValidation type="whole" allowBlank="1" showInputMessage="1" showErrorMessage="1" sqref="E13:E14" xr:uid="{07CB6360-34C4-4DF7-AB96-8F81A19EF510}">
      <formula1>0</formula1>
      <formula2>#REF!/2</formula2>
    </dataValidation>
    <dataValidation type="whole" allowBlank="1" showInputMessage="1" showErrorMessage="1" error="Max STR = Lesser of Size + TL or SIZE X 4" sqref="G19:G28" xr:uid="{7DB202DC-61A6-4B1C-BBA2-86F59675F446}">
      <formula1>0</formula1>
      <formula2>F19-C19</formula2>
    </dataValidation>
    <dataValidation type="whole" allowBlank="1" showInputMessage="1" showErrorMessage="1" error="Max DEX = TL+3" sqref="K19:K28" xr:uid="{60EC0BDE-1413-420F-8F52-9C475B8AC4CA}">
      <formula1>0</formula1>
      <formula2>J19-D19</formula2>
    </dataValidation>
    <dataValidation type="whole" allowBlank="1" showInputMessage="1" showErrorMessage="1" error="Total Armour cannot exceed Maximum" sqref="B7" xr:uid="{507F2ED3-82AE-4B13-ACE3-53E7CF96414C}">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BDD58A-7CFC-498C-818A-720B1B4BE980}">
          <x14:formula1>
            <xm:f>Options!$C$9:$C$256</xm:f>
          </x14:formula1>
          <xm:sqref>A36:A56</xm:sqref>
        </x14:dataValidation>
        <x14:dataValidation type="list" allowBlank="1" showInputMessage="1" showErrorMessage="1" xr:uid="{94641A9F-9F1E-41CE-B7EA-1C205ED0AAD4}">
          <x14:formula1>
            <xm:f>Options!$C$9:$C$71</xm:f>
          </x14:formula1>
          <xm:sqref>A30:A34</xm:sqref>
        </x14:dataValidation>
        <x14:dataValidation type="list" allowBlank="1" showInputMessage="1" showErrorMessage="1" xr:uid="{FC0E86E3-8510-4A5E-9D3D-2527D0C571C0}">
          <x14:formula1>
            <xm:f>Packages!$B$29:$B$82</xm:f>
          </x14:formula1>
          <xm:sqref>A73:A90</xm:sqref>
        </x14:dataValidation>
        <x14:dataValidation type="list" allowBlank="1" showInputMessage="1" showErrorMessage="1" xr:uid="{DE3F336F-B847-48E9-87D7-98458544F5D3}">
          <x14:formula1>
            <xm:f>Chassis!$H$3:$H$13</xm:f>
          </x14:formula1>
          <xm:sqref>B17 B5</xm:sqref>
        </x14:dataValidation>
        <x14:dataValidation type="list" allowBlank="1" showInputMessage="1" showErrorMessage="1" xr:uid="{F748FD23-87CA-4663-962B-4F32482C01A6}">
          <x14:formula1>
            <xm:f>Packages!$B$11:$B$19</xm:f>
          </x14:formula1>
          <xm:sqref>B70</xm:sqref>
        </x14:dataValidation>
        <x14:dataValidation type="list" allowBlank="1" showInputMessage="1" showErrorMessage="1" xr:uid="{C15646CB-9D08-483A-9071-6EE650190C39}">
          <x14:formula1>
            <xm:f>Brains!$B$3:$B$19</xm:f>
          </x14:formula1>
          <xm:sqref>B64</xm:sqref>
        </x14:dataValidation>
        <x14:dataValidation type="list" allowBlank="1" showInputMessage="1" showErrorMessage="1" xr:uid="{FDA0D1F8-F427-422B-87B9-27AFAA9DF6EC}">
          <x14:formula1>
            <xm:f>Packages!$B$3:$B$7</xm:f>
          </x14:formula1>
          <xm:sqref>B69</xm:sqref>
        </x14:dataValidation>
        <x14:dataValidation type="list" allowBlank="1" showInputMessage="1" showErrorMessage="1" xr:uid="{D2ADABF2-E27D-4CD7-B3F2-01D6D03F1C72}">
          <x14:formula1>
            <xm:f>Packages!$B$23:$B$25</xm:f>
          </x14:formula1>
          <xm:sqref>B71</xm:sqref>
        </x14:dataValidation>
        <x14:dataValidation type="list" allowBlank="1" showInputMessage="1" showErrorMessage="1" xr:uid="{764761B1-A3F2-4D28-B34E-74BA0DCD2296}">
          <x14:formula1>
            <xm:f>Brains!$K$3:$K$16</xm:f>
          </x14:formula1>
          <xm:sqref>B65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3B8E-B32B-4379-8D4D-5FB0DCF29917}">
  <sheetPr>
    <tabColor rgb="FF92D050"/>
  </sheetPr>
  <dimension ref="A1:Z95"/>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867</v>
      </c>
      <c r="C2" s="204"/>
      <c r="D2" s="205"/>
      <c r="E2" s="36">
        <f>SUM(E5:E90)+E4</f>
        <v>0</v>
      </c>
      <c r="F2" s="206" t="s">
        <v>184</v>
      </c>
      <c r="G2" s="207"/>
      <c r="H2" s="208"/>
      <c r="I2" s="203" t="s">
        <v>776</v>
      </c>
      <c r="J2" s="204"/>
      <c r="K2" s="204"/>
      <c r="L2" s="204"/>
      <c r="M2" s="204"/>
      <c r="N2" s="79" t="s">
        <v>315</v>
      </c>
      <c r="O2" s="37">
        <v>14</v>
      </c>
      <c r="P2" s="151">
        <f>Z6</f>
        <v>190700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22</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Enhanced Emergency AutoBerth (Long Duration)</v>
      </c>
      <c r="S6" s="144">
        <f>M11</f>
        <v>72</v>
      </c>
      <c r="T6" s="144" t="str">
        <f>B5</f>
        <v>None</v>
      </c>
      <c r="U6" s="144" t="str">
        <f>_xlfn.CONCAT(J14," m")</f>
        <v>0 m</v>
      </c>
      <c r="V6" s="145">
        <f>O2</f>
        <v>14</v>
      </c>
      <c r="W6" s="150">
        <f>P91</f>
        <v>211900</v>
      </c>
      <c r="X6" s="152">
        <f>IF(I2="Standard Design",0.1,0)</f>
        <v>0.1</v>
      </c>
      <c r="Y6" s="153">
        <v>2</v>
      </c>
      <c r="Z6" s="148">
        <f>FLOOR(P91*(1-X6),100)</f>
        <v>190700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3</v>
      </c>
      <c r="G7" s="209" t="s">
        <v>183</v>
      </c>
      <c r="H7" s="209"/>
      <c r="I7" s="210"/>
      <c r="J7" s="33">
        <f>IF(B4&gt;0,IF(COUNT(L36:L56)&gt;0,B7,_xlfn.XLOOKUP($O$2,Armour[TL],Armour[Base],,,)+B7),_xlfn.XLOOKUP($O$2,Armour[TL],Armour[Base],,,)-2)</f>
        <v>4</v>
      </c>
      <c r="K7" s="93" t="s">
        <v>313</v>
      </c>
      <c r="L7" s="52">
        <f>_xlfn.XLOOKUP($O$2,Armour[TL],Armour[Max],,,)</f>
        <v>40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Athletics (endurance) 3, Medic 3,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648</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-39</v>
      </c>
      <c r="F9" s="38"/>
      <c r="G9" s="178" t="s">
        <v>302</v>
      </c>
      <c r="H9" s="178"/>
      <c r="I9" s="179"/>
      <c r="J9" s="52">
        <f>J8*(1+B9)</f>
        <v>2592</v>
      </c>
      <c r="K9" s="177" t="s">
        <v>64</v>
      </c>
      <c r="L9" s="178"/>
      <c r="M9" s="179"/>
      <c r="O9" s="5" t="str">
        <f>IF(B9&gt;0,_xlfn.CONCAT("Athletics (endurance) ",B9,", "),"")</f>
        <v xml:space="preserve">Athletics (endurance) 3, </v>
      </c>
      <c r="P9" s="137">
        <f>-500*E9</f>
        <v>19500</v>
      </c>
      <c r="R9" s="116" t="s">
        <v>49</v>
      </c>
      <c r="S9" s="162" t="str">
        <f>IF(COUNT(B19:B26)=0,"none",_xlfn.CONCAT(COUNT(B19:B26), " X (STR ",H19," DEX ",L19,")"))</f>
        <v>5 X (STR 5 DEX 8)</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2592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Vacuum Environment Protection,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2592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8</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17</v>
      </c>
      <c r="K19" s="16">
        <v>0</v>
      </c>
      <c r="L19" s="61">
        <f t="shared" ref="L19:L28" si="5">D19+K19</f>
        <v>8</v>
      </c>
      <c r="M19" s="62">
        <f t="shared" ref="M19:M28" si="6">IF(L19&gt;17,4,IF(L19&gt;14,3,IF(L19&gt;11,2,IF(L19&gt;8,1,IF(L19&gt;5,0,IF(L19&gt;2,-1,-2))))))</f>
        <v>0</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8</v>
      </c>
      <c r="E20" s="101" cm="1">
        <f t="array" ref="E20">ROUNDUP(_xlfn.IFS($B$4-B20=0,0,$B$4-B20=1,$E$4*0.05,$B$4-B20=2,$E$4*0.08,$B$4-B20=3,$E$4*0.09,$B$4-B20&gt;3,$E$4*0.1,$B$4-B20&lt;0,$E$4*0.1*($B$4-B20)),0)</f>
        <v>13</v>
      </c>
      <c r="F20" s="54">
        <f t="shared" si="1"/>
        <v>10</v>
      </c>
      <c r="G20" s="16"/>
      <c r="H20" s="6">
        <f t="shared" si="2"/>
        <v>5</v>
      </c>
      <c r="I20" s="21">
        <f t="shared" si="3"/>
        <v>-1</v>
      </c>
      <c r="J20" s="54">
        <f t="shared" si="4"/>
        <v>17</v>
      </c>
      <c r="K20" s="16"/>
      <c r="L20" s="6">
        <f t="shared" si="5"/>
        <v>8</v>
      </c>
      <c r="M20" s="21">
        <f t="shared" si="6"/>
        <v>0</v>
      </c>
      <c r="O20" s="5" t="str">
        <f t="shared" si="7"/>
        <v/>
      </c>
      <c r="P20" s="137">
        <f>IF((B20-$B$4)*100&gt;-0.2*$P$5,(B20-$B$4)*100,-0.2*$P$5)+B20*100*(G20)^2+B20*200*(K20)^2</f>
        <v>-500</v>
      </c>
      <c r="R20" s="232" t="s">
        <v>877</v>
      </c>
      <c r="S20" s="189"/>
      <c r="T20" s="189"/>
      <c r="U20" s="189"/>
      <c r="V20" s="189"/>
      <c r="W20" s="189"/>
      <c r="X20" s="189"/>
      <c r="Y20" s="189"/>
      <c r="Z20" s="190"/>
    </row>
    <row r="21" spans="1:26" ht="12" customHeight="1" x14ac:dyDescent="0.35">
      <c r="A21" s="93" t="s">
        <v>52</v>
      </c>
      <c r="B21" s="30">
        <v>3</v>
      </c>
      <c r="C21" s="6">
        <f t="shared" si="0"/>
        <v>5</v>
      </c>
      <c r="D21" s="97">
        <f t="shared" si="8"/>
        <v>8</v>
      </c>
      <c r="E21" s="101" cm="1">
        <f t="array" ref="E21">IF(B21=0,0,ROUNDUP(_xlfn.IFS($B$4-B21=0,-$E$4*0.1,$B$4-B21=1,-$E$4*0.05,$B$4-B21=2,-$E$4*0.02,$B$4-B21=3,-$E$4*0.01,$B$4-B21&gt;3,-$E$4*0.01,$B$4-B21&lt;0,$E$4*0.2*($B$4-B21)),0))</f>
        <v>-2</v>
      </c>
      <c r="F21" s="54">
        <f t="shared" si="1"/>
        <v>10</v>
      </c>
      <c r="G21" s="16"/>
      <c r="H21" s="6">
        <f t="shared" si="2"/>
        <v>5</v>
      </c>
      <c r="I21" s="21">
        <f t="shared" si="3"/>
        <v>-1</v>
      </c>
      <c r="J21" s="54">
        <f t="shared" si="4"/>
        <v>17</v>
      </c>
      <c r="K21" s="16"/>
      <c r="L21" s="6">
        <f t="shared" si="5"/>
        <v>8</v>
      </c>
      <c r="M21" s="21">
        <f t="shared" si="6"/>
        <v>0</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8</v>
      </c>
      <c r="E22" s="101" cm="1">
        <f t="array" ref="E22">IF(B22=0,0,ROUNDUP(_xlfn.IFS($B$4-B22=0,-$E$4*0.1,$B$4-B22=1,-$E$4*0.05,$B$4-B22=2,-$E$4*0.02,$B$4-B22=3,-$E$4*0.01,$B$4-B22&gt;3,-$E$4*0.01,$B$4-B22&lt;0,$E$4*0.2*($B$4-B22)),0))</f>
        <v>-2</v>
      </c>
      <c r="F22" s="54">
        <f t="shared" si="1"/>
        <v>10</v>
      </c>
      <c r="G22" s="16"/>
      <c r="H22" s="6">
        <f t="shared" si="2"/>
        <v>5</v>
      </c>
      <c r="I22" s="21">
        <f t="shared" si="3"/>
        <v>-1</v>
      </c>
      <c r="J22" s="54">
        <f t="shared" si="4"/>
        <v>17</v>
      </c>
      <c r="K22" s="16"/>
      <c r="L22" s="6">
        <f t="shared" si="5"/>
        <v>8</v>
      </c>
      <c r="M22" s="21">
        <f t="shared" si="6"/>
        <v>0</v>
      </c>
      <c r="O22" s="5" t="str">
        <f t="shared" si="7"/>
        <v/>
      </c>
      <c r="P22" s="137">
        <f t="shared" si="9"/>
        <v>300</v>
      </c>
      <c r="R22" s="191"/>
      <c r="S22" s="192"/>
      <c r="T22" s="192"/>
      <c r="U22" s="192"/>
      <c r="V22" s="192"/>
      <c r="W22" s="192"/>
      <c r="X22" s="192"/>
      <c r="Y22" s="192"/>
      <c r="Z22" s="193"/>
    </row>
    <row r="23" spans="1:26" ht="12" customHeight="1" x14ac:dyDescent="0.35">
      <c r="A23" s="93" t="s">
        <v>54</v>
      </c>
      <c r="B23" s="30">
        <v>3</v>
      </c>
      <c r="C23" s="6">
        <f t="shared" si="0"/>
        <v>5</v>
      </c>
      <c r="D23" s="97">
        <f t="shared" si="8"/>
        <v>8</v>
      </c>
      <c r="E23" s="101" cm="1">
        <f t="array" ref="E23">IF(B23=0,0,ROUNDUP(_xlfn.IFS($B$4-B23=0,-$E$4*0.1,$B$4-B23=1,-$E$4*0.05,$B$4-B23=2,-$E$4*0.02,$B$4-B23=3,-$E$4*0.01,$B$4-B23&gt;3,-$E$4*0.01,$B$4-B23&lt;0,$E$4*0.2*($B$4-B23)),0))</f>
        <v>-2</v>
      </c>
      <c r="F23" s="54">
        <f t="shared" si="1"/>
        <v>10</v>
      </c>
      <c r="G23" s="16"/>
      <c r="H23" s="6">
        <f t="shared" si="2"/>
        <v>5</v>
      </c>
      <c r="I23" s="21">
        <f t="shared" si="3"/>
        <v>-1</v>
      </c>
      <c r="J23" s="54">
        <f t="shared" si="4"/>
        <v>17</v>
      </c>
      <c r="K23" s="16"/>
      <c r="L23" s="6">
        <f t="shared" si="5"/>
        <v>8</v>
      </c>
      <c r="M23" s="21">
        <f t="shared" si="6"/>
        <v>0</v>
      </c>
      <c r="O23" s="5" t="str">
        <f t="shared" si="7"/>
        <v/>
      </c>
      <c r="P23" s="137">
        <f t="shared" si="9"/>
        <v>300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17</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17</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17</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17</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17</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-128</v>
      </c>
      <c r="F37" s="38">
        <f>IF(_xlfn.XLOOKUP(A37,OptionsTable[Name],OptionsTable[xS],,,)=FALSE,1,IF($B$4&gt;0,$E$4,1))</f>
        <v>1</v>
      </c>
      <c r="G37" s="58">
        <v>128</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25600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-1</v>
      </c>
      <c r="F40" s="38">
        <f>IF(_xlfn.XLOOKUP(A40,OptionsTable[Name],OptionsTable[xS],,,)=FALSE,1,IF($B$4&gt;0,$E$4,1))</f>
        <v>1</v>
      </c>
      <c r="G40" s="58"/>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100</v>
      </c>
      <c r="R40" s="191"/>
      <c r="S40" s="192"/>
      <c r="T40" s="192"/>
      <c r="U40" s="192"/>
      <c r="V40" s="192"/>
      <c r="W40" s="192"/>
      <c r="X40" s="192"/>
      <c r="Y40" s="192"/>
      <c r="Z40" s="193"/>
    </row>
    <row r="41" spans="1:26" ht="12" customHeight="1" x14ac:dyDescent="0.35">
      <c r="A41" s="197" t="s">
        <v>100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128</v>
      </c>
      <c r="G41" s="58"/>
      <c r="H41" s="199" t="str">
        <f>IF(_xlfn.XLOOKUP(A41,OptionsTable[Name],OptionsTable[Notes],,,)="","",_xlfn.XLOOKUP(A41,OptionsTable[Name],OptionsTable[Notes],,,))</f>
        <v>+ Hostile env</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76800</v>
      </c>
      <c r="R41" s="191"/>
      <c r="S41" s="192"/>
      <c r="T41" s="192"/>
      <c r="U41" s="192"/>
      <c r="V41" s="192"/>
      <c r="W41" s="192"/>
      <c r="X41" s="192"/>
      <c r="Y41" s="192"/>
      <c r="Z41" s="193"/>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80</v>
      </c>
      <c r="C64" s="227"/>
      <c r="D64" s="227"/>
      <c r="E64" s="40">
        <f>IF(L64+K64-O2&gt;B4,-1,0)</f>
        <v>0</v>
      </c>
      <c r="F64" s="38"/>
      <c r="H64" s="1">
        <f>_xlfn.XLOOKUP(B64,Brains[Programming/Control],Brains[Base INT],,,)</f>
        <v>8</v>
      </c>
      <c r="I64" s="31">
        <f>IF(H64&gt;17,4,IF(H64&gt;14,3,IF(H64&gt;11,2,IF(H64&gt;8,1,IF(H64&gt;5,0,IF(H64&gt;2,-1,-2))))))</f>
        <v>0</v>
      </c>
      <c r="J64" s="1">
        <f>_xlfn.XLOOKUP(B64,Brains[Programming/Control],Brains[Computer/X],,,)</f>
        <v>2</v>
      </c>
      <c r="K64" s="44">
        <f>_xlfn.XLOOKUP(B64,Brains[Programming/Control],Brains[TL],,,)</f>
        <v>12</v>
      </c>
      <c r="L64">
        <f>_xlfn.XLOOKUP(B64,Brains[Programming/Control],Brains[Computer/X],,,)</f>
        <v>2</v>
      </c>
      <c r="M64" s="12" t="str">
        <f>_xlfn.XLOOKUP(B64,Brains[Programming/Control],Brains[Base capability (built-in no bandwidth, cumulative)],,,)</f>
        <v>Intelligent Interface, Expert/1, Security/1</v>
      </c>
      <c r="N64" s="12"/>
      <c r="O64" s="12" t="str">
        <f>IF(_xlfn.XLOOKUP(B64,Brains[Programming/Control],Brains[Skill],,,)="","",_xlfn.XLOOKUP(B64,Brains[Programming/Control],Brains[Skill],,,))</f>
        <v/>
      </c>
      <c r="P64" s="137">
        <f>_xlfn.XLOOKUP(B64,Brains[Programming/Control],Brains[Cost],,,)*IF(L64&gt;2,2/(2)^(1+O2-K64),1)</f>
        <v>10000</v>
      </c>
      <c r="R64" s="191"/>
      <c r="S64" s="192"/>
      <c r="T64" s="192"/>
      <c r="U64" s="192"/>
      <c r="V64" s="192"/>
      <c r="W64" s="192"/>
      <c r="X64" s="192"/>
      <c r="Y64" s="192"/>
      <c r="Z64" s="193"/>
    </row>
    <row r="65" spans="1:26" ht="12" customHeight="1" x14ac:dyDescent="0.35">
      <c r="A65" s="93" t="s">
        <v>152</v>
      </c>
      <c r="B65" s="197" t="s">
        <v>156</v>
      </c>
      <c r="C65" s="198"/>
      <c r="D65" s="198"/>
      <c r="E65" s="40">
        <f>-_xlfn.XLOOKUP(B65,Bandwidth[Minimum Base Brain],Bandwidth[Slots],,,)</f>
        <v>-1</v>
      </c>
      <c r="F65" s="38"/>
      <c r="K65" s="44">
        <f>_xlfn.XLOOKUP(B65,Bandwidth[Minimum Base Brain],Bandwidth[TL],,,)</f>
        <v>10</v>
      </c>
      <c r="L65">
        <f>_xlfn.XLOOKUP(B65,Bandwidth[Minimum Base Brain],Bandwidth[Bandwidth],,,)+L64</f>
        <v>4</v>
      </c>
      <c r="M65" t="s">
        <v>310</v>
      </c>
      <c r="P65" s="137">
        <f>_xlfn.XLOOKUP(B65,Bandwidth[Minimum Base Brain],Bandwidth[Cost],,,)</f>
        <v>5000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9</v>
      </c>
      <c r="I66" s="15">
        <f>IF(H66&gt;17,4,IF(H66&gt;14,3,IF(H66&gt;11,2,IF(H66&gt;8,1,IF(H66&gt;5,0,IF(H66&gt;2,-1,-2))))))</f>
        <v>1</v>
      </c>
      <c r="K66" s="44"/>
      <c r="L66" s="56">
        <f>L65+F66</f>
        <v>3</v>
      </c>
      <c r="M66" t="s">
        <v>310</v>
      </c>
      <c r="P66" s="137" cm="1">
        <f t="array" ref="P66">_xlfn.IFS(B66=0,0,B66=1,(H64+1)*1000,B66=2,(H64+1)*(H64+2)*1000,B66=3,(H64+1)*(H64+2)*(H64+3)*1000)*IF(H66&gt;11,2,1)</f>
        <v>9000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2</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2</v>
      </c>
      <c r="E73" s="40"/>
      <c r="G73" s="59">
        <f>IF(A73="N/A","",D73+_xlfn.XLOOKUP(A73,StandardBrain[Name],StandardBrain[Bandwidth],,,))</f>
        <v>2</v>
      </c>
      <c r="I73" s="59" t="str">
        <f>_xlfn.XLOOKUP(A73,StandardBrain[Name],StandardBrain[Characteristic],,,)</f>
        <v>INT</v>
      </c>
      <c r="K73" s="44">
        <f>_xlfn.XLOOKUP(A73,StandardBrain[Name],StandardBrain[TL],,,)+D73</f>
        <v>11</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3, </v>
      </c>
      <c r="P73" s="137">
        <f>_xlfn.XLOOKUP(A73,StandardBrain[Name],StandardBrain[Cr],,,)*10^(D73)</f>
        <v>20000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211900</v>
      </c>
    </row>
    <row r="92" spans="1:16" ht="12" customHeight="1" thickBot="1" x14ac:dyDescent="0.45">
      <c r="A92" s="7"/>
      <c r="O92" s="149" t="str">
        <f>CONCATENATE("Cost With "&amp;X6*100 &amp; "% Discount")</f>
        <v>Cost With 10% Discount</v>
      </c>
      <c r="P92" s="147">
        <f>P2</f>
        <v>190700</v>
      </c>
    </row>
    <row r="93" spans="1:16" ht="12" customHeight="1" x14ac:dyDescent="0.35">
      <c r="B93" s="110"/>
    </row>
    <row r="94" spans="1:16" ht="12" customHeight="1" x14ac:dyDescent="0.4">
      <c r="B94" s="111"/>
    </row>
    <row r="95" spans="1:16" ht="12" customHeight="1" x14ac:dyDescent="0.35">
      <c r="A95" s="110"/>
      <c r="B95" s="112"/>
    </row>
  </sheetData>
  <sortState xmlns:xlrd2="http://schemas.microsoft.com/office/spreadsheetml/2017/richdata2" ref="A36:D42">
    <sortCondition ref="A36:A42"/>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17" priority="6">
      <formula>ABS($J$14-6) &gt; 6</formula>
    </cfRule>
  </conditionalFormatting>
  <conditionalFormatting sqref="E2">
    <cfRule type="expression" dxfId="16" priority="4">
      <formula>$E$2&lt;0</formula>
    </cfRule>
  </conditionalFormatting>
  <conditionalFormatting sqref="E15:E17">
    <cfRule type="expression" dxfId="15" priority="1">
      <formula>AND($B$4=0,E15&lt;0)</formula>
    </cfRule>
  </conditionalFormatting>
  <conditionalFormatting sqref="K5 K30:K34 K36:K57 K59:K61 K64:K67 K73:K90">
    <cfRule type="expression" dxfId="14" priority="5">
      <formula>K5&gt;$O$2</formula>
    </cfRule>
  </conditionalFormatting>
  <conditionalFormatting sqref="L57">
    <cfRule type="expression" dxfId="13" priority="2">
      <formula>L57&gt;$O$2</formula>
    </cfRule>
  </conditionalFormatting>
  <conditionalFormatting sqref="L67">
    <cfRule type="expression" dxfId="12" priority="3">
      <formula>L67&lt;0</formula>
    </cfRule>
  </conditionalFormatting>
  <dataValidations count="20">
    <dataValidation type="whole" allowBlank="1" showInputMessage="1" showErrorMessage="1" error="Total Armour cannot exceed Maximum" sqref="B7" xr:uid="{878DEBE6-AD98-4E64-B8EB-05AC51673CEC}">
      <formula1>-1</formula1>
      <formula2>L7-MID(A7,18,1)</formula2>
    </dataValidation>
    <dataValidation type="whole" allowBlank="1" showInputMessage="1" showErrorMessage="1" error="Max DEX = TL+3" sqref="K19:K28" xr:uid="{82306E93-D55E-46CC-96CE-1C4656B3CEA1}">
      <formula1>0</formula1>
      <formula2>J19-D19</formula2>
    </dataValidation>
    <dataValidation type="whole" allowBlank="1" showInputMessage="1" showErrorMessage="1" error="Max STR = Lesser of Size + TL or SIZE X 4" sqref="G19:G28" xr:uid="{CA65B25C-F5CE-4A2F-855B-D8AE938ECF19}">
      <formula1>0</formula1>
      <formula2>F19-C19</formula2>
    </dataValidation>
    <dataValidation type="whole" allowBlank="1" showInputMessage="1" showErrorMessage="1" sqref="E13:E14" xr:uid="{B1517C23-C062-4493-82E0-AFC375F39E2A}">
      <formula1>0</formula1>
      <formula2>#REF!/2</formula2>
    </dataValidation>
    <dataValidation type="whole" allowBlank="1" showInputMessage="1" showErrorMessage="1" sqref="C14:D14" xr:uid="{6919E593-0C01-4920-A8BA-666619F9D888}">
      <formula1>0</formula1>
      <formula2>D15/2</formula2>
    </dataValidation>
    <dataValidation type="whole" allowBlank="1" showInputMessage="1" showErrorMessage="1" sqref="C13:D13" xr:uid="{67DC6864-59C6-42E9-8688-F7107E0B452D}">
      <formula1>0</formula1>
      <formula2>D5/2</formula2>
    </dataValidation>
    <dataValidation type="whole" allowBlank="1" showInputMessage="1" showErrorMessage="1" sqref="C11:D11" xr:uid="{3FEC4BBE-62EB-4D54-A686-460F91E471F8}">
      <formula1>0</formula1>
      <formula2>D4/2</formula2>
    </dataValidation>
    <dataValidation type="whole" allowBlank="1" showInputMessage="1" showErrorMessage="1" error="Must be whole number between -6 and +12" sqref="B14" xr:uid="{81A88B78-217F-4170-8E99-139B5CF6B9C9}">
      <formula1>-6</formula1>
      <formula2>12</formula2>
    </dataValidation>
    <dataValidation type="list" allowBlank="1" showInputMessage="1" showErrorMessage="1" sqref="B16" xr:uid="{AD761B82-1EA4-4FD6-9824-7B32CB8355EF}">
      <formula1>"No,1X,2X,3X"</formula1>
    </dataValidation>
    <dataValidation type="list" allowBlank="1" showInputMessage="1" showErrorMessage="1" sqref="B15" xr:uid="{3550F0E7-ACB6-483C-8CC7-F20B9E75B41D}">
      <formula1>"FALSE,TRUE"</formula1>
    </dataValidation>
    <dataValidation type="list" allowBlank="1" showInputMessage="1" showErrorMessage="1" sqref="D73:D90 B66" xr:uid="{EFBF828E-07C7-4744-A97F-67D7DF1D4C3A}">
      <formula1>"0,1,2,3"</formula1>
    </dataValidation>
    <dataValidation type="list" allowBlank="1" showInputMessage="1" showErrorMessage="1" sqref="B13" xr:uid="{EFF7D158-73D1-4E12-9A57-ED38A67C0163}">
      <formula1>"0,1,2,3,4"</formula1>
    </dataValidation>
    <dataValidation type="list" allowBlank="1" showInputMessage="1" showErrorMessage="1" sqref="B27:B28 B67 B8" xr:uid="{01FDC07C-DACB-4564-A714-6366349B57C1}">
      <formula1>"TRUE,FALSE"</formula1>
    </dataValidation>
    <dataValidation type="whole" allowBlank="1" showInputMessage="1" showErrorMessage="1" error="Max Manipulator Size = Chassis Size +2_x000a_Min Manipulator Size = 0_x000a_Whole Numbers Only" sqref="B19:B26" xr:uid="{D82F19D1-62FA-4EB4-8917-46B686B8AA1F}">
      <formula1>0</formula1>
      <formula2>$B$4+2</formula2>
    </dataValidation>
    <dataValidation type="list" allowBlank="1" showInputMessage="1" showErrorMessage="1" sqref="O2" xr:uid="{923BD1C5-F5CE-4B9A-9D64-E0A344EE4727}">
      <formula1>"7,8,9,10,11,12,13,14,15,16,17,18"</formula1>
    </dataValidation>
    <dataValidation type="list" allowBlank="1" showInputMessage="1" showErrorMessage="1" sqref="B4" xr:uid="{2209B2B5-92CC-4207-A222-A4E25BF8C7B8}">
      <formula1>"0,1,2,3,4,5,6,7,8"</formula1>
    </dataValidation>
    <dataValidation type="list" allowBlank="1" showInputMessage="1" showErrorMessage="1" error="Maximum = 3" sqref="B9" xr:uid="{0E8F87EC-7460-4B03-A85F-927FF48B63B9}">
      <formula1>"0,1,2,3"</formula1>
    </dataValidation>
    <dataValidation type="whole" allowBlank="1" showInputMessage="1" showErrorMessage="1" sqref="E11" xr:uid="{3D0D89EB-3157-47E0-B793-58ECB253DCC5}">
      <formula1>0</formula1>
      <formula2>J4/2</formula2>
    </dataValidation>
    <dataValidation type="whole" allowBlank="1" showInputMessage="1" showErrorMessage="1" error="Must be whole number. No more than 50% of slots may be used for Resiliency" sqref="B10" xr:uid="{5CD85399-79D2-44F3-B515-69DC543EF985}">
      <formula1>0</formula1>
      <formula2>E4/2</formula2>
    </dataValidation>
    <dataValidation type="whole" allowBlank="1" showInputMessage="1" showErrorMessage="1" error="Must be a negative number no less than a 50% of the base hits" sqref="B11" xr:uid="{E6459E6B-7F31-42DC-B0CC-939CEB573023}">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3D5A8CD-5688-42FB-B84A-F702BE658EB4}">
          <x14:formula1>
            <xm:f>Options!$C$9:$C$256</xm:f>
          </x14:formula1>
          <xm:sqref>A36:A56</xm:sqref>
        </x14:dataValidation>
        <x14:dataValidation type="list" allowBlank="1" showInputMessage="1" showErrorMessage="1" xr:uid="{1EBDD8A8-C4C0-48C0-B9D3-F46A8815B955}">
          <x14:formula1>
            <xm:f>Brains!$K$3:$K$16</xm:f>
          </x14:formula1>
          <xm:sqref>B65</xm:sqref>
        </x14:dataValidation>
        <x14:dataValidation type="list" allowBlank="1" showInputMessage="1" showErrorMessage="1" xr:uid="{2B64E31A-547C-4ADC-96C3-3B6558AF8774}">
          <x14:formula1>
            <xm:f>Packages!$B$23:$B$25</xm:f>
          </x14:formula1>
          <xm:sqref>B71</xm:sqref>
        </x14:dataValidation>
        <x14:dataValidation type="list" allowBlank="1" showInputMessage="1" showErrorMessage="1" xr:uid="{3EABD29D-7B02-43A3-B9CF-2AC7673ACC02}">
          <x14:formula1>
            <xm:f>Packages!$B$3:$B$7</xm:f>
          </x14:formula1>
          <xm:sqref>B69</xm:sqref>
        </x14:dataValidation>
        <x14:dataValidation type="list" allowBlank="1" showInputMessage="1" showErrorMessage="1" xr:uid="{323971FA-E1E6-4C1C-B6B2-25DFB28D9653}">
          <x14:formula1>
            <xm:f>Brains!$B$3:$B$19</xm:f>
          </x14:formula1>
          <xm:sqref>B64</xm:sqref>
        </x14:dataValidation>
        <x14:dataValidation type="list" allowBlank="1" showInputMessage="1" showErrorMessage="1" xr:uid="{E33A3663-76D9-4B2F-9F3E-0E197F970A38}">
          <x14:formula1>
            <xm:f>Packages!$B$11:$B$19</xm:f>
          </x14:formula1>
          <xm:sqref>B70</xm:sqref>
        </x14:dataValidation>
        <x14:dataValidation type="list" allowBlank="1" showInputMessage="1" showErrorMessage="1" xr:uid="{05E80AFC-4AFE-416A-AD9C-8D9369BBAE31}">
          <x14:formula1>
            <xm:f>Chassis!$H$3:$H$13</xm:f>
          </x14:formula1>
          <xm:sqref>B17 B5</xm:sqref>
        </x14:dataValidation>
        <x14:dataValidation type="list" allowBlank="1" showInputMessage="1" showErrorMessage="1" xr:uid="{AE20159F-4060-4073-9937-DBACE96248D5}">
          <x14:formula1>
            <xm:f>Packages!$B$29:$B$82</xm:f>
          </x14:formula1>
          <xm:sqref>A73:A90</xm:sqref>
        </x14:dataValidation>
        <x14:dataValidation type="list" allowBlank="1" showInputMessage="1" showErrorMessage="1" xr:uid="{B7F039F3-EED4-46B0-BF23-FFC646BBBD16}">
          <x14:formula1>
            <xm:f>Options!$C$9:$C$71</xm:f>
          </x14:formula1>
          <xm:sqref>A30:A34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1C117-2729-4AC2-B8B0-AB689E0E952C}">
  <sheetPr>
    <tabColor rgb="FF92D050"/>
  </sheetPr>
  <dimension ref="A1:Z94"/>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868</v>
      </c>
      <c r="C2" s="204"/>
      <c r="D2" s="205"/>
      <c r="E2" s="36">
        <f>SUM(E5:E90)+E4</f>
        <v>0</v>
      </c>
      <c r="F2" s="206" t="s">
        <v>184</v>
      </c>
      <c r="G2" s="207"/>
      <c r="H2" s="208"/>
      <c r="I2" s="203" t="s">
        <v>776</v>
      </c>
      <c r="J2" s="204"/>
      <c r="K2" s="204"/>
      <c r="L2" s="204"/>
      <c r="M2" s="204"/>
      <c r="N2" s="79" t="s">
        <v>315</v>
      </c>
      <c r="O2" s="37">
        <v>15</v>
      </c>
      <c r="P2" s="151">
        <f>Z6</f>
        <v>387400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23</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Advanced Emergency AutoBerth (Long Duration)</v>
      </c>
      <c r="S6" s="144">
        <f>M11</f>
        <v>72</v>
      </c>
      <c r="T6" s="144" t="str">
        <f>B5</f>
        <v>None</v>
      </c>
      <c r="U6" s="144" t="str">
        <f>_xlfn.CONCAT(J14," m")</f>
        <v>0 m</v>
      </c>
      <c r="V6" s="145">
        <f>O2</f>
        <v>15</v>
      </c>
      <c r="W6" s="150">
        <f>P91</f>
        <v>430500</v>
      </c>
      <c r="X6" s="152">
        <f>IF(I2="Standard Design",0.1,0)</f>
        <v>0.1</v>
      </c>
      <c r="Y6" s="153">
        <v>2</v>
      </c>
      <c r="Z6" s="148">
        <f>FLOOR(P91*(1-X6),100)</f>
        <v>387400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Athletics (endurance) 3, Medic 4,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-39</v>
      </c>
      <c r="F9" s="38"/>
      <c r="G9" s="178" t="s">
        <v>302</v>
      </c>
      <c r="H9" s="178"/>
      <c r="I9" s="179"/>
      <c r="J9" s="52">
        <f>J8*(1+B9)</f>
        <v>3456</v>
      </c>
      <c r="K9" s="177" t="s">
        <v>64</v>
      </c>
      <c r="L9" s="178"/>
      <c r="M9" s="179"/>
      <c r="O9" s="5" t="str">
        <f>IF(B9&gt;0,_xlfn.CONCAT("Athletics (endurance) ",B9,", "),"")</f>
        <v xml:space="preserve">Athletics (endurance) 3, </v>
      </c>
      <c r="P9" s="137">
        <f>-500*E9</f>
        <v>19500</v>
      </c>
      <c r="R9" s="116" t="s">
        <v>49</v>
      </c>
      <c r="S9" s="162" t="str">
        <f>IF(COUNT(B19:B26)=0,"none",_xlfn.CONCAT(COUNT(B19:B26), " X (STR ",H19," DEX ",L19,")"))</f>
        <v>5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3456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9)</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Vacuum Environment Protection,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3456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18</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9</v>
      </c>
      <c r="E20" s="101" cm="1">
        <f t="array" ref="E20">ROUNDUP(_xlfn.IFS($B$4-B20=0,0,$B$4-B20=1,$E$4*0.05,$B$4-B20=2,$E$4*0.08,$B$4-B20=3,$E$4*0.09,$B$4-B20&gt;3,$E$4*0.1,$B$4-B20&lt;0,$E$4*0.1*($B$4-B20)),0)</f>
        <v>13</v>
      </c>
      <c r="F20" s="54">
        <f t="shared" si="1"/>
        <v>10</v>
      </c>
      <c r="G20" s="16"/>
      <c r="H20" s="6">
        <f t="shared" si="2"/>
        <v>5</v>
      </c>
      <c r="I20" s="21">
        <f t="shared" si="3"/>
        <v>-1</v>
      </c>
      <c r="J20" s="54">
        <f t="shared" si="4"/>
        <v>18</v>
      </c>
      <c r="K20" s="16"/>
      <c r="L20" s="6">
        <f t="shared" si="5"/>
        <v>9</v>
      </c>
      <c r="M20" s="21">
        <f t="shared" si="6"/>
        <v>1</v>
      </c>
      <c r="O20" s="5" t="str">
        <f t="shared" si="7"/>
        <v/>
      </c>
      <c r="P20" s="137">
        <f>IF((B20-$B$4)*100&gt;-0.2*$P$5,(B20-$B$4)*100,-0.2*$P$5)+B20*100*(G20)^2+B20*200*(K20)^2</f>
        <v>-500</v>
      </c>
      <c r="R20" s="232" t="s">
        <v>878</v>
      </c>
      <c r="S20" s="189"/>
      <c r="T20" s="189"/>
      <c r="U20" s="189"/>
      <c r="V20" s="189"/>
      <c r="W20" s="189"/>
      <c r="X20" s="189"/>
      <c r="Y20" s="189"/>
      <c r="Z20" s="190"/>
    </row>
    <row r="21" spans="1:26" ht="12" customHeight="1" x14ac:dyDescent="0.35">
      <c r="A21" s="93" t="s">
        <v>52</v>
      </c>
      <c r="B21" s="30">
        <v>3</v>
      </c>
      <c r="C21" s="6">
        <f t="shared" si="0"/>
        <v>5</v>
      </c>
      <c r="D21" s="97">
        <f t="shared" si="8"/>
        <v>9</v>
      </c>
      <c r="E21" s="101" cm="1">
        <f t="array" ref="E21">IF(B21=0,0,ROUNDUP(_xlfn.IFS($B$4-B21=0,-$E$4*0.1,$B$4-B21=1,-$E$4*0.05,$B$4-B21=2,-$E$4*0.02,$B$4-B21=3,-$E$4*0.01,$B$4-B21&gt;3,-$E$4*0.01,$B$4-B21&lt;0,$E$4*0.2*($B$4-B21)),0))</f>
        <v>-2</v>
      </c>
      <c r="F21" s="54">
        <f t="shared" si="1"/>
        <v>10</v>
      </c>
      <c r="G21" s="16"/>
      <c r="H21" s="6">
        <f t="shared" si="2"/>
        <v>5</v>
      </c>
      <c r="I21" s="21">
        <f t="shared" si="3"/>
        <v>-1</v>
      </c>
      <c r="J21" s="54">
        <f t="shared" si="4"/>
        <v>18</v>
      </c>
      <c r="K21" s="16"/>
      <c r="L21" s="6">
        <f t="shared" si="5"/>
        <v>9</v>
      </c>
      <c r="M21" s="21">
        <f t="shared" si="6"/>
        <v>1</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9</v>
      </c>
      <c r="E22" s="101" cm="1">
        <f t="array" ref="E22">IF(B22=0,0,ROUNDUP(_xlfn.IFS($B$4-B22=0,-$E$4*0.1,$B$4-B22=1,-$E$4*0.05,$B$4-B22=2,-$E$4*0.02,$B$4-B22=3,-$E$4*0.01,$B$4-B22&gt;3,-$E$4*0.01,$B$4-B22&lt;0,$E$4*0.2*($B$4-B22)),0))</f>
        <v>-2</v>
      </c>
      <c r="F22" s="54">
        <f t="shared" si="1"/>
        <v>10</v>
      </c>
      <c r="G22" s="16"/>
      <c r="H22" s="6">
        <f t="shared" si="2"/>
        <v>5</v>
      </c>
      <c r="I22" s="21">
        <f t="shared" si="3"/>
        <v>-1</v>
      </c>
      <c r="J22" s="54">
        <f t="shared" si="4"/>
        <v>18</v>
      </c>
      <c r="K22" s="16"/>
      <c r="L22" s="6">
        <f t="shared" si="5"/>
        <v>9</v>
      </c>
      <c r="M22" s="21">
        <f t="shared" si="6"/>
        <v>1</v>
      </c>
      <c r="O22" s="5" t="str">
        <f t="shared" si="7"/>
        <v/>
      </c>
      <c r="P22" s="137">
        <f t="shared" si="9"/>
        <v>300</v>
      </c>
      <c r="R22" s="191"/>
      <c r="S22" s="192"/>
      <c r="T22" s="192"/>
      <c r="U22" s="192"/>
      <c r="V22" s="192"/>
      <c r="W22" s="192"/>
      <c r="X22" s="192"/>
      <c r="Y22" s="192"/>
      <c r="Z22" s="193"/>
    </row>
    <row r="23" spans="1:26" ht="12" customHeight="1" x14ac:dyDescent="0.35">
      <c r="A23" s="93" t="s">
        <v>54</v>
      </c>
      <c r="B23" s="30">
        <v>3</v>
      </c>
      <c r="C23" s="6">
        <f t="shared" si="0"/>
        <v>5</v>
      </c>
      <c r="D23" s="97">
        <f t="shared" si="8"/>
        <v>9</v>
      </c>
      <c r="E23" s="101" cm="1">
        <f t="array" ref="E23">IF(B23=0,0,ROUNDUP(_xlfn.IFS($B$4-B23=0,-$E$4*0.1,$B$4-B23=1,-$E$4*0.05,$B$4-B23=2,-$E$4*0.02,$B$4-B23=3,-$E$4*0.01,$B$4-B23&gt;3,-$E$4*0.01,$B$4-B23&lt;0,$E$4*0.2*($B$4-B23)),0))</f>
        <v>-2</v>
      </c>
      <c r="F23" s="54">
        <f t="shared" si="1"/>
        <v>10</v>
      </c>
      <c r="G23" s="16"/>
      <c r="H23" s="6">
        <f t="shared" si="2"/>
        <v>5</v>
      </c>
      <c r="I23" s="21">
        <f t="shared" si="3"/>
        <v>-1</v>
      </c>
      <c r="J23" s="54">
        <f t="shared" si="4"/>
        <v>18</v>
      </c>
      <c r="K23" s="16"/>
      <c r="L23" s="6">
        <f t="shared" si="5"/>
        <v>9</v>
      </c>
      <c r="M23" s="21">
        <f t="shared" si="6"/>
        <v>1</v>
      </c>
      <c r="O23" s="5" t="str">
        <f t="shared" si="7"/>
        <v/>
      </c>
      <c r="P23" s="137">
        <f t="shared" si="9"/>
        <v>300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18</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18</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18</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18</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18</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-128</v>
      </c>
      <c r="F37" s="38">
        <f>IF(_xlfn.XLOOKUP(A37,OptionsTable[Name],OptionsTable[xS],,,)=FALSE,1,IF($B$4&gt;0,$E$4,1))</f>
        <v>1</v>
      </c>
      <c r="G37" s="58">
        <v>128</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25600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100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128</v>
      </c>
      <c r="G41" s="58"/>
      <c r="H41" s="199" t="str">
        <f>IF(_xlfn.XLOOKUP(A41,OptionsTable[Name],OptionsTable[Notes],,,)="","",_xlfn.XLOOKUP(A41,OptionsTable[Name],OptionsTable[Notes],,,))</f>
        <v>+ Hostile env</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76800</v>
      </c>
      <c r="R41" s="191"/>
      <c r="S41" s="192"/>
      <c r="T41" s="192"/>
      <c r="U41" s="192"/>
      <c r="V41" s="192"/>
      <c r="W41" s="192"/>
      <c r="X41" s="192"/>
      <c r="Y41" s="192"/>
      <c r="Z41" s="193"/>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81</v>
      </c>
      <c r="C64" s="227"/>
      <c r="D64" s="227"/>
      <c r="E64" s="40">
        <f>IF(L64+K64-O2&gt;B4,-1,0)</f>
        <v>0</v>
      </c>
      <c r="F64" s="38"/>
      <c r="H64" s="1">
        <f>_xlfn.XLOOKUP(B64,Brains[Programming/Control],Brains[Base INT],,,)</f>
        <v>9</v>
      </c>
      <c r="I64" s="31">
        <f>IF(H64&gt;17,4,IF(H64&gt;14,3,IF(H64&gt;11,2,IF(H64&gt;8,1,IF(H64&gt;5,0,IF(H64&gt;2,-1,-2))))))</f>
        <v>1</v>
      </c>
      <c r="J64" s="1">
        <f>_xlfn.XLOOKUP(B64,Brains[Programming/Control],Brains[Computer/X],,,)</f>
        <v>3</v>
      </c>
      <c r="K64" s="44">
        <f>_xlfn.XLOOKUP(B64,Brains[Programming/Control],Brains[TL],,,)</f>
        <v>12</v>
      </c>
      <c r="L64">
        <f>_xlfn.XLOOKUP(B64,Brains[Programming/Control],Brains[Computer/X],,,)</f>
        <v>3</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62500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3</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0</v>
      </c>
      <c r="E66" s="40"/>
      <c r="F66" s="38" cm="1">
        <f t="array" ref="F66">_xlfn.IFS(B66=0,0,B66=1,-1,B66=2,-3,B66=3,-6)</f>
        <v>0</v>
      </c>
      <c r="H66" s="6">
        <f>H64+B66</f>
        <v>9</v>
      </c>
      <c r="I66" s="15">
        <f>IF(H66&gt;17,4,IF(H66&gt;14,3,IF(H66&gt;11,2,IF(H66&gt;8,1,IF(H66&gt;5,0,IF(H66&gt;2,-1,-2))))))</f>
        <v>1</v>
      </c>
      <c r="K66" s="44"/>
      <c r="L66" s="56">
        <f>L65+F66</f>
        <v>3</v>
      </c>
      <c r="M66" t="s">
        <v>310</v>
      </c>
      <c r="P66" s="137" cm="1">
        <f t="array" ref="P66">_xlfn.IFS(B66=0,0,B66=1,(H64+1)*1000,B66=2,(H64+1)*(H64+2)*1000,B66=3,(H64+1)*(H64+2)*(H64+3)*1000)*IF(H66&gt;11,2,1)</f>
        <v>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3</v>
      </c>
      <c r="K67" s="43"/>
      <c r="L67" s="57">
        <f>L66-SUM(G69:G90)</f>
        <v>0</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4,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430500</v>
      </c>
    </row>
    <row r="92" spans="1:16" ht="12" customHeight="1" thickBot="1" x14ac:dyDescent="0.45">
      <c r="B92" s="110"/>
      <c r="O92" s="149" t="str">
        <f>CONCATENATE("Cost With "&amp;X6*100 &amp; "% Discount")</f>
        <v>Cost With 10% Discount</v>
      </c>
      <c r="P92" s="147">
        <f>P2</f>
        <v>387400</v>
      </c>
    </row>
    <row r="93" spans="1:16" ht="12" customHeight="1" x14ac:dyDescent="0.4">
      <c r="B93" s="111"/>
    </row>
    <row r="94" spans="1:16" ht="12" customHeight="1" x14ac:dyDescent="0.35">
      <c r="A94" s="110"/>
      <c r="B94" s="112"/>
    </row>
  </sheetData>
  <sortState xmlns:xlrd2="http://schemas.microsoft.com/office/spreadsheetml/2017/richdata2" ref="A36:D42">
    <sortCondition ref="A36:A42"/>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11" priority="6">
      <formula>ABS($J$14-6) &gt; 6</formula>
    </cfRule>
  </conditionalFormatting>
  <conditionalFormatting sqref="E2">
    <cfRule type="expression" dxfId="10" priority="4">
      <formula>$E$2&lt;0</formula>
    </cfRule>
  </conditionalFormatting>
  <conditionalFormatting sqref="E15:E17">
    <cfRule type="expression" dxfId="9" priority="1">
      <formula>AND($B$4=0,E15&lt;0)</formula>
    </cfRule>
  </conditionalFormatting>
  <conditionalFormatting sqref="K5 K30:K34 K36:K57 K59:K61 K64:K67 K73:K90">
    <cfRule type="expression" dxfId="8" priority="5">
      <formula>K5&gt;$O$2</formula>
    </cfRule>
  </conditionalFormatting>
  <conditionalFormatting sqref="L57">
    <cfRule type="expression" dxfId="7" priority="2">
      <formula>L57&gt;$O$2</formula>
    </cfRule>
  </conditionalFormatting>
  <conditionalFormatting sqref="L67">
    <cfRule type="expression" dxfId="6" priority="3">
      <formula>L67&lt;0</formula>
    </cfRule>
  </conditionalFormatting>
  <dataValidations count="20">
    <dataValidation type="whole" allowBlank="1" showInputMessage="1" showErrorMessage="1" error="Must be a negative number no less than a 50% of the base hits" sqref="B11" xr:uid="{400CE169-B9A5-45CE-AE2E-AEB4DEB95D4C}">
      <formula1>-J4/2</formula1>
      <formula2>0</formula2>
    </dataValidation>
    <dataValidation type="whole" allowBlank="1" showInputMessage="1" showErrorMessage="1" error="Must be whole number. No more than 50% of slots may be used for Resiliency" sqref="B10" xr:uid="{DB9BCA13-EF6C-46B6-BA23-4E754678C96B}">
      <formula1>0</formula1>
      <formula2>E4/2</formula2>
    </dataValidation>
    <dataValidation type="whole" allowBlank="1" showInputMessage="1" showErrorMessage="1" sqref="E11" xr:uid="{11AA9D5D-25F2-4255-B709-20C6E765F22B}">
      <formula1>0</formula1>
      <formula2>J4/2</formula2>
    </dataValidation>
    <dataValidation type="list" allowBlank="1" showInputMessage="1" showErrorMessage="1" error="Maximum = 3" sqref="B9" xr:uid="{D5A21264-B51A-4B99-A604-BB0A71E06F9C}">
      <formula1>"0,1,2,3"</formula1>
    </dataValidation>
    <dataValidation type="list" allowBlank="1" showInputMessage="1" showErrorMessage="1" sqref="B4" xr:uid="{13B8AD1A-CD5F-4563-9901-820B6DB77777}">
      <formula1>"0,1,2,3,4,5,6,7,8"</formula1>
    </dataValidation>
    <dataValidation type="list" allowBlank="1" showInputMessage="1" showErrorMessage="1" sqref="O2" xr:uid="{ACA6D43C-54AC-435A-BB93-B79880B2175B}">
      <formula1>"7,8,9,10,11,12,13,14,15,16,17,18"</formula1>
    </dataValidation>
    <dataValidation type="whole" allowBlank="1" showInputMessage="1" showErrorMessage="1" error="Max Manipulator Size = Chassis Size +2_x000a_Min Manipulator Size = 0_x000a_Whole Numbers Only" sqref="B19:B26" xr:uid="{AFBC658C-2D63-4F68-9E26-5CE6B3D2ECFB}">
      <formula1>0</formula1>
      <formula2>$B$4+2</formula2>
    </dataValidation>
    <dataValidation type="list" allowBlank="1" showInputMessage="1" showErrorMessage="1" sqref="B27:B28 B67 B8" xr:uid="{5F05348A-A101-4164-8CBE-DBED2B7A9C64}">
      <formula1>"TRUE,FALSE"</formula1>
    </dataValidation>
    <dataValidation type="list" allowBlank="1" showInputMessage="1" showErrorMessage="1" sqref="B13" xr:uid="{FF6864E2-3343-42E4-8D17-7C052B1B3FDC}">
      <formula1>"0,1,2,3,4"</formula1>
    </dataValidation>
    <dataValidation type="list" allowBlank="1" showInputMessage="1" showErrorMessage="1" sqref="D73:D90 B66" xr:uid="{90B09BCB-409D-4AE2-B519-5910AF21BFC8}">
      <formula1>"0,1,2,3"</formula1>
    </dataValidation>
    <dataValidation type="list" allowBlank="1" showInputMessage="1" showErrorMessage="1" sqref="B15" xr:uid="{7420929B-0674-4D94-9D4C-6B76E87686A7}">
      <formula1>"FALSE,TRUE"</formula1>
    </dataValidation>
    <dataValidation type="list" allowBlank="1" showInputMessage="1" showErrorMessage="1" sqref="B16" xr:uid="{4EA633D0-9670-4978-8506-FD5808F4056A}">
      <formula1>"No,1X,2X,3X"</formula1>
    </dataValidation>
    <dataValidation type="whole" allowBlank="1" showInputMessage="1" showErrorMessage="1" error="Must be whole number between -6 and +12" sqref="B14" xr:uid="{75BD5831-6A7E-48AE-91FC-BBBE3097663E}">
      <formula1>-6</formula1>
      <formula2>12</formula2>
    </dataValidation>
    <dataValidation type="whole" allowBlank="1" showInputMessage="1" showErrorMessage="1" sqref="C11:D11" xr:uid="{0459C236-6F17-4CE8-904D-1661F567447A}">
      <formula1>0</formula1>
      <formula2>D4/2</formula2>
    </dataValidation>
    <dataValidation type="whole" allowBlank="1" showInputMessage="1" showErrorMessage="1" sqref="C13:D13" xr:uid="{FB961DE3-92DE-4994-8E4D-95F6A4735AB2}">
      <formula1>0</formula1>
      <formula2>D5/2</formula2>
    </dataValidation>
    <dataValidation type="whole" allowBlank="1" showInputMessage="1" showErrorMessage="1" sqref="C14:D14" xr:uid="{37382762-58D9-4C14-816C-25B7ABBAB84E}">
      <formula1>0</formula1>
      <formula2>D15/2</formula2>
    </dataValidation>
    <dataValidation type="whole" allowBlank="1" showInputMessage="1" showErrorMessage="1" sqref="E13:E14" xr:uid="{FBAA1AB4-1F0C-4DF5-809F-DF8744A728B8}">
      <formula1>0</formula1>
      <formula2>#REF!/2</formula2>
    </dataValidation>
    <dataValidation type="whole" allowBlank="1" showInputMessage="1" showErrorMessage="1" error="Max STR = Lesser of Size + TL or SIZE X 4" sqref="G19:G28" xr:uid="{23490DB2-CE5C-4A61-803A-27C7569C81BB}">
      <formula1>0</formula1>
      <formula2>F19-C19</formula2>
    </dataValidation>
    <dataValidation type="whole" allowBlank="1" showInputMessage="1" showErrorMessage="1" error="Max DEX = TL+3" sqref="K19:K28" xr:uid="{D63991DB-65C2-4140-8852-1EDE341F51A8}">
      <formula1>0</formula1>
      <formula2>J19-D19</formula2>
    </dataValidation>
    <dataValidation type="whole" allowBlank="1" showInputMessage="1" showErrorMessage="1" error="Total Armour cannot exceed Maximum" sqref="B7" xr:uid="{6EBF7B2D-AFE2-402F-9EC8-BEFC476F45A2}">
      <formula1>-1</formula1>
      <formula2>L7-MID(A7,18,1)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8BDCF96-F3D8-42EA-A935-51E4E26AAF4C}">
          <x14:formula1>
            <xm:f>Options!$C$9:$C$256</xm:f>
          </x14:formula1>
          <xm:sqref>A36:A56</xm:sqref>
        </x14:dataValidation>
        <x14:dataValidation type="list" allowBlank="1" showInputMessage="1" showErrorMessage="1" xr:uid="{17BF7DDB-52D6-4638-9257-08BE384FE566}">
          <x14:formula1>
            <xm:f>Options!$C$9:$C$71</xm:f>
          </x14:formula1>
          <xm:sqref>A30:A34</xm:sqref>
        </x14:dataValidation>
        <x14:dataValidation type="list" allowBlank="1" showInputMessage="1" showErrorMessage="1" xr:uid="{BF0A6CE7-6E6E-4434-9A55-BA6FFE73D483}">
          <x14:formula1>
            <xm:f>Packages!$B$29:$B$82</xm:f>
          </x14:formula1>
          <xm:sqref>A73:A90</xm:sqref>
        </x14:dataValidation>
        <x14:dataValidation type="list" allowBlank="1" showInputMessage="1" showErrorMessage="1" xr:uid="{49D7F057-0977-47A9-A733-038D9123ED8B}">
          <x14:formula1>
            <xm:f>Chassis!$H$3:$H$13</xm:f>
          </x14:formula1>
          <xm:sqref>B17 B5</xm:sqref>
        </x14:dataValidation>
        <x14:dataValidation type="list" allowBlank="1" showInputMessage="1" showErrorMessage="1" xr:uid="{D1923829-58A5-4C58-B7BF-7432D603653A}">
          <x14:formula1>
            <xm:f>Packages!$B$11:$B$19</xm:f>
          </x14:formula1>
          <xm:sqref>B70</xm:sqref>
        </x14:dataValidation>
        <x14:dataValidation type="list" allowBlank="1" showInputMessage="1" showErrorMessage="1" xr:uid="{07F7404B-170F-4C16-B4C4-A79D6C3EB3F9}">
          <x14:formula1>
            <xm:f>Brains!$B$3:$B$19</xm:f>
          </x14:formula1>
          <xm:sqref>B64</xm:sqref>
        </x14:dataValidation>
        <x14:dataValidation type="list" allowBlank="1" showInputMessage="1" showErrorMessage="1" xr:uid="{BD629BFD-6B5A-4D43-9424-D910D1191B43}">
          <x14:formula1>
            <xm:f>Packages!$B$3:$B$7</xm:f>
          </x14:formula1>
          <xm:sqref>B69</xm:sqref>
        </x14:dataValidation>
        <x14:dataValidation type="list" allowBlank="1" showInputMessage="1" showErrorMessage="1" xr:uid="{A8B26BFA-8A08-4562-93B1-A9EA1F8558C2}">
          <x14:formula1>
            <xm:f>Packages!$B$23:$B$25</xm:f>
          </x14:formula1>
          <xm:sqref>B71</xm:sqref>
        </x14:dataValidation>
        <x14:dataValidation type="list" allowBlank="1" showInputMessage="1" showErrorMessage="1" xr:uid="{ACD4EA38-3B07-44AF-A8B3-2F855A62CB8B}">
          <x14:formula1>
            <xm:f>Brains!$K$3:$K$16</xm:f>
          </x14:formula1>
          <xm:sqref>B65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BF95-2C17-47B9-80BC-CB6F225FA22F}">
  <sheetPr>
    <tabColor rgb="FF92D050"/>
  </sheetPr>
  <dimension ref="A1:Z94"/>
  <sheetViews>
    <sheetView workbookViewId="0">
      <pane ySplit="3" topLeftCell="A4" activePane="bottomLeft" state="frozen"/>
      <selection pane="bottomLeft" activeCell="B2" sqref="B2:D2"/>
    </sheetView>
  </sheetViews>
  <sheetFormatPr defaultRowHeight="12" customHeight="1" x14ac:dyDescent="0.35"/>
  <cols>
    <col min="1" max="1" width="28.75" customWidth="1"/>
    <col min="2" max="2" width="17.4140625" customWidth="1"/>
    <col min="3" max="3" width="7.33203125" customWidth="1"/>
    <col min="4" max="5" width="6.75" customWidth="1"/>
    <col min="6" max="6" width="4" bestFit="1" customWidth="1"/>
    <col min="7" max="7" width="4.75" customWidth="1"/>
    <col min="8" max="11" width="5.75" customWidth="1"/>
    <col min="12" max="12" width="5.75" style="1" customWidth="1"/>
    <col min="13" max="13" width="5.75" customWidth="1"/>
    <col min="14" max="14" width="21.6640625" customWidth="1"/>
    <col min="15" max="15" width="29.4140625" customWidth="1"/>
    <col min="16" max="16" width="11.6640625" style="134" customWidth="1"/>
    <col min="17" max="17" width="1.75" customWidth="1"/>
    <col min="18" max="18" width="33.33203125" customWidth="1"/>
    <col min="19" max="19" width="9.33203125" customWidth="1"/>
    <col min="20" max="20" width="12.83203125" customWidth="1"/>
    <col min="21" max="22" width="9.33203125" customWidth="1"/>
    <col min="23" max="23" width="23.33203125" customWidth="1"/>
    <col min="24" max="24" width="12.5" customWidth="1"/>
    <col min="25" max="25" width="10.4140625" customWidth="1"/>
    <col min="26" max="26" width="17.9140625" customWidth="1"/>
  </cols>
  <sheetData>
    <row r="1" spans="1:26" ht="12" customHeight="1" thickBot="1" x14ac:dyDescent="0.4">
      <c r="A1" s="7" t="s">
        <v>36</v>
      </c>
      <c r="O1" s="11" t="s">
        <v>823</v>
      </c>
      <c r="P1" s="154">
        <v>1.51</v>
      </c>
    </row>
    <row r="2" spans="1:26" ht="12" customHeight="1" thickBot="1" x14ac:dyDescent="0.4">
      <c r="A2" s="64" t="s">
        <v>37</v>
      </c>
      <c r="B2" s="203" t="s">
        <v>869</v>
      </c>
      <c r="C2" s="204"/>
      <c r="D2" s="205"/>
      <c r="E2" s="36">
        <f>SUM(E5:E90)+E4</f>
        <v>0</v>
      </c>
      <c r="F2" s="206" t="s">
        <v>184</v>
      </c>
      <c r="G2" s="207"/>
      <c r="H2" s="208"/>
      <c r="I2" s="203" t="s">
        <v>776</v>
      </c>
      <c r="J2" s="204"/>
      <c r="K2" s="204"/>
      <c r="L2" s="204"/>
      <c r="M2" s="204"/>
      <c r="N2" s="79" t="s">
        <v>315</v>
      </c>
      <c r="O2" s="37">
        <v>16</v>
      </c>
      <c r="P2" s="151">
        <f>Z6</f>
        <v>465300</v>
      </c>
    </row>
    <row r="3" spans="1:26" ht="12" customHeight="1" thickBot="1" x14ac:dyDescent="0.4">
      <c r="A3" s="64" t="s">
        <v>295</v>
      </c>
      <c r="B3" s="64" t="s">
        <v>296</v>
      </c>
      <c r="C3" s="64"/>
      <c r="D3" s="64"/>
      <c r="E3" s="65" t="s">
        <v>10</v>
      </c>
      <c r="F3" s="39"/>
      <c r="G3" s="171" t="s">
        <v>297</v>
      </c>
      <c r="H3" s="172"/>
      <c r="I3" s="172"/>
      <c r="J3" s="214"/>
      <c r="K3" s="77" t="s">
        <v>4</v>
      </c>
      <c r="L3" s="66"/>
      <c r="M3" s="64"/>
      <c r="N3" s="64" t="s">
        <v>25</v>
      </c>
      <c r="O3" s="64" t="s">
        <v>90</v>
      </c>
      <c r="P3" s="135" t="s">
        <v>5</v>
      </c>
    </row>
    <row r="4" spans="1:26" ht="12" customHeight="1" x14ac:dyDescent="0.35">
      <c r="A4" s="91" t="s">
        <v>180</v>
      </c>
      <c r="B4" s="35">
        <v>8</v>
      </c>
      <c r="E4" s="115">
        <f>_xlfn.XLOOKUP(B4,Size[Size],Size[Base Slots],,,)</f>
        <v>128</v>
      </c>
      <c r="F4" s="38">
        <f>B4+O2</f>
        <v>24</v>
      </c>
      <c r="G4" s="215" t="s">
        <v>299</v>
      </c>
      <c r="H4" s="215"/>
      <c r="I4" s="216"/>
      <c r="J4" s="109">
        <f>_xlfn.XLOOKUP(B4,Size[Size],Size[Base hits],,,)</f>
        <v>72</v>
      </c>
      <c r="K4" s="217" t="s">
        <v>715</v>
      </c>
      <c r="L4" s="218"/>
      <c r="M4" s="53">
        <f>_xlfn.XLOOKUP(B4,Size[Size],Size[Basic Cost],,,)</f>
        <v>8000</v>
      </c>
      <c r="N4" s="12" t="str">
        <f>IF(_xlfn.XLOOKUP(B4,Size[Size],Size[Hit DM],,,)=0,"",IF(_xlfn.XLOOKUP(B4,Size[Size],Size[Hit DM],,,)&gt;0,_xlfn.CONCAT("Large (+",_xlfn.XLOOKUP(B4,Size[Size],Size[Hit DM],,,),"), "),_xlfn.CONCAT("Small (",_xlfn.XLOOKUP(B4,Size[Size],Size[Hit DM],,,),"), ")))</f>
        <v xml:space="preserve">Large (+3), </v>
      </c>
      <c r="R4" s="7" t="s">
        <v>454</v>
      </c>
    </row>
    <row r="5" spans="1:26" ht="12" customHeight="1" thickBot="1" x14ac:dyDescent="0.4">
      <c r="A5" s="90" t="s">
        <v>38</v>
      </c>
      <c r="B5" s="28" t="s">
        <v>26</v>
      </c>
      <c r="C5" s="24"/>
      <c r="D5" s="24"/>
      <c r="E5" s="115">
        <f>IF(B5="none",ROUNDUP(E4*0.25,0),"")</f>
        <v>32</v>
      </c>
      <c r="F5" s="39"/>
      <c r="G5" s="180" t="s">
        <v>298</v>
      </c>
      <c r="H5" s="180"/>
      <c r="I5" s="181"/>
      <c r="J5" s="104" t="str">
        <f>_xlfn.XLOOKUP(B5,Locomotion[Locomotion],Locomotion[Agility],,,)</f>
        <v>-</v>
      </c>
      <c r="K5" s="43">
        <f>_xlfn.XLOOKUP(B5,Locomotion[Locomotion],Locomotion[TL],,,)</f>
        <v>5</v>
      </c>
      <c r="L5" s="26" t="s">
        <v>311</v>
      </c>
      <c r="M5" s="20">
        <f>_xlfn.XLOOKUP(B5,Locomotion[Locomotion],Locomotion[Cost X])</f>
        <v>1</v>
      </c>
      <c r="N5" s="25" t="str">
        <f>IF(_xlfn.XLOOKUP(B5,Locomotion[Locomotion],Locomotion[Traits],,,)="","",_xlfn.XLOOKUP(B5,Locomotion[Locomotion],Locomotion[Traits],,,))</f>
        <v/>
      </c>
      <c r="O5" s="129" t="s">
        <v>714</v>
      </c>
      <c r="P5" s="136">
        <f>_xlfn.XLOOKUP(B4,Size[Size],Size[Basic Cost],,,)*_xlfn.XLOOKUP(B5,Locomotion[Locomotion],Locomotion[Cost X])</f>
        <v>8000</v>
      </c>
      <c r="R5" s="116" t="s">
        <v>318</v>
      </c>
      <c r="S5" s="117" t="s">
        <v>317</v>
      </c>
      <c r="T5" s="117" t="s">
        <v>23</v>
      </c>
      <c r="U5" s="117" t="s">
        <v>319</v>
      </c>
      <c r="V5" s="117" t="s">
        <v>4</v>
      </c>
      <c r="W5" s="117" t="s">
        <v>822</v>
      </c>
      <c r="X5" s="117" t="s">
        <v>804</v>
      </c>
      <c r="Y5" s="117" t="s">
        <v>805</v>
      </c>
      <c r="Z5" s="117" t="s">
        <v>803</v>
      </c>
    </row>
    <row r="6" spans="1:26" ht="12" customHeight="1" thickBot="1" x14ac:dyDescent="0.45">
      <c r="A6" s="64" t="s">
        <v>185</v>
      </c>
      <c r="B6" s="64"/>
      <c r="C6" s="64"/>
      <c r="D6" s="64"/>
      <c r="E6" s="64"/>
      <c r="F6" s="39" t="s">
        <v>92</v>
      </c>
      <c r="G6" s="64"/>
      <c r="H6" s="171"/>
      <c r="I6" s="172"/>
      <c r="J6" s="172"/>
      <c r="K6" s="172"/>
      <c r="L6" s="172"/>
      <c r="M6" s="172"/>
      <c r="N6" s="173"/>
      <c r="O6" s="64" t="s">
        <v>90</v>
      </c>
      <c r="P6" s="135" t="s">
        <v>5</v>
      </c>
      <c r="R6" s="118" t="str">
        <f>B2</f>
        <v>Superior Emergency AutoBerth (Long Duration)</v>
      </c>
      <c r="S6" s="144">
        <f>M11</f>
        <v>72</v>
      </c>
      <c r="T6" s="144" t="str">
        <f>B5</f>
        <v>None</v>
      </c>
      <c r="U6" s="144" t="str">
        <f>_xlfn.CONCAT(J14," m")</f>
        <v>0 m</v>
      </c>
      <c r="V6" s="145">
        <f>O2</f>
        <v>16</v>
      </c>
      <c r="W6" s="150">
        <f>P91</f>
        <v>517000</v>
      </c>
      <c r="X6" s="152">
        <f>IF(I2="Standard Design",0.1,0)</f>
        <v>0.1</v>
      </c>
      <c r="Y6" s="153">
        <v>2</v>
      </c>
      <c r="Z6" s="148">
        <f>FLOOR(P91*(1-X6),100)</f>
        <v>465300</v>
      </c>
    </row>
    <row r="7" spans="1:26" ht="12" customHeight="1" x14ac:dyDescent="0.4">
      <c r="A7" s="92" t="str">
        <f>IF( B4&gt;0,IF(COUNT(L36:L56)&gt;0,"Armour (Base =  +0)",_xlfn.CONCAT("Armour (Base =  +",_xlfn.XLOOKUP($O$2,Armour[TL],Armour[Base],,,),")")),_xlfn.CONCAT("Armour (Base =  +",_xlfn.XLOOKUP($O$2,Armour[TL],Armour[Base],,,)-2,")"))</f>
        <v>Armour (Base =  +4)</v>
      </c>
      <c r="B7" s="29">
        <v>0</v>
      </c>
      <c r="E7" s="115" cm="1">
        <f t="array" ref="E7">IF(ROUNDUP(_xlfn.XLOOKUP($O$2,Armour[TL],Armour[Slots]*B7*E4,,,),0)&lt;B7/F7,-ROUNDUP(B7/F7,0),-ROUNDUP(_xlfn.XLOOKUP($O$2,Armour[TL],Armour[Slots]*B7*E4,,,),0))</f>
        <v>0</v>
      </c>
      <c r="F7" s="38">
        <f>_xlfn.XLOOKUP($O$2,Armour[TL],Armour[Max/slot],,,)</f>
        <v>4</v>
      </c>
      <c r="G7" s="209" t="s">
        <v>183</v>
      </c>
      <c r="H7" s="209"/>
      <c r="I7" s="210"/>
      <c r="J7" s="33">
        <f>IF(B4&gt;0,IF(COUNT(L36:L56)&gt;0,B7,_xlfn.XLOOKUP($O$2,Armour[TL],Armour[Base],,,)+B7),_xlfn.XLOOKUP($O$2,Armour[TL],Armour[Base],,,)-2)</f>
        <v>4</v>
      </c>
      <c r="K7" s="93" t="s">
        <v>313</v>
      </c>
      <c r="L7" s="52">
        <f>_xlfn.XLOOKUP($O$2,Armour[TL],Armour[Max],,,)</f>
        <v>50</v>
      </c>
      <c r="N7" s="5" t="str">
        <f>_xlfn.CONCAT("Armour (+",IF(COUNT(L36:L56)&gt;0,0+B7, _xlfn.XLOOKUP($O$2,Armour[TL],Armour[Base],,,)+B7+IF(B4=0,-2,0)),"), ")</f>
        <v xml:space="preserve">Armour (+4), </v>
      </c>
      <c r="P7" s="137" cm="1">
        <f t="array" ref="P7">IF(B7&gt;-1,_xlfn.XLOOKUP($O$2,Armour[TL],-Armour[Cost/Slot]*E7,,,),-P5*0.1)</f>
        <v>0</v>
      </c>
      <c r="R7" s="119" t="s">
        <v>90</v>
      </c>
      <c r="S7" s="162" t="str">
        <f>_xlfn.CONCAT(O9,O13,O19:O28,O30:O34,O36:O57,O64,O69:O71,O73:O90)</f>
        <v xml:space="preserve">Athletics (endurance) 3, Medic 5, </v>
      </c>
      <c r="T7" s="163"/>
      <c r="U7" s="163"/>
      <c r="V7" s="163"/>
      <c r="W7" s="163"/>
      <c r="X7" s="163"/>
      <c r="Y7" s="163"/>
      <c r="Z7" s="164"/>
    </row>
    <row r="8" spans="1:26" ht="12" customHeight="1" x14ac:dyDescent="0.4">
      <c r="A8" s="93" t="s">
        <v>62</v>
      </c>
      <c r="B8" s="30" t="b">
        <v>1</v>
      </c>
      <c r="E8" s="40"/>
      <c r="F8" s="38"/>
      <c r="G8" s="178" t="s">
        <v>302</v>
      </c>
      <c r="H8" s="178"/>
      <c r="I8" s="179"/>
      <c r="J8" s="52">
        <f>_xlfn.XLOOKUP(B5,Locomotion[Locomotion],Locomotion[Endurance],,,)*(1+B8)*(IF(O2&lt;12,1,IF(O2&lt;15,1.5,2)))/IF(B4=0,24,1)</f>
        <v>864</v>
      </c>
      <c r="K8" s="211" t="s">
        <v>64</v>
      </c>
      <c r="L8" s="212"/>
      <c r="M8" s="213"/>
      <c r="P8" s="137">
        <f>B8*0.5*P5</f>
        <v>4000</v>
      </c>
      <c r="R8" s="116" t="s">
        <v>320</v>
      </c>
      <c r="S8" s="162" t="str">
        <f>_xlfn.CONCAT(A59," (",J59," ",N59,") ",A60," (",J60," ",N60,") ",A61," (",J61," ",N61,") ")</f>
        <v xml:space="preserve">none ( )  ( )  ( ) </v>
      </c>
      <c r="T8" s="163"/>
      <c r="U8" s="163"/>
      <c r="V8" s="163"/>
      <c r="W8" s="163"/>
      <c r="X8" s="163"/>
      <c r="Y8" s="163"/>
      <c r="Z8" s="164"/>
    </row>
    <row r="9" spans="1:26" ht="12" customHeight="1" x14ac:dyDescent="0.4">
      <c r="A9" s="93" t="s">
        <v>63</v>
      </c>
      <c r="B9" s="30">
        <v>3</v>
      </c>
      <c r="E9" s="115">
        <f>IF(B4&gt;0,-ROUNDUP(0.1*E4,0)*B9,-B9)</f>
        <v>-39</v>
      </c>
      <c r="F9" s="38"/>
      <c r="G9" s="178" t="s">
        <v>302</v>
      </c>
      <c r="H9" s="178"/>
      <c r="I9" s="179"/>
      <c r="J9" s="52">
        <f>J8*(1+B9)</f>
        <v>3456</v>
      </c>
      <c r="K9" s="177" t="s">
        <v>64</v>
      </c>
      <c r="L9" s="178"/>
      <c r="M9" s="179"/>
      <c r="O9" s="5" t="str">
        <f>IF(B9&gt;0,_xlfn.CONCAT("Athletics (endurance) ",B9,", "),"")</f>
        <v xml:space="preserve">Athletics (endurance) 3, </v>
      </c>
      <c r="P9" s="137">
        <f>-500*E9</f>
        <v>19500</v>
      </c>
      <c r="R9" s="116" t="s">
        <v>49</v>
      </c>
      <c r="S9" s="162" t="str">
        <f>IF(COUNT(B19:B26)=0,"none",_xlfn.CONCAT(COUNT(B19:B26), " X (STR ",H19," DEX ",L19,")"))</f>
        <v>5 X (STR 5 DEX 9)</v>
      </c>
      <c r="T9" s="163"/>
      <c r="U9" s="163"/>
      <c r="V9" s="163"/>
      <c r="W9" s="163"/>
      <c r="X9" s="163"/>
      <c r="Y9" s="163"/>
      <c r="Z9" s="164"/>
    </row>
    <row r="10" spans="1:26" ht="12" customHeight="1" x14ac:dyDescent="0.4">
      <c r="A10" s="93" t="s">
        <v>181</v>
      </c>
      <c r="B10" s="30">
        <v>0</v>
      </c>
      <c r="E10" s="115">
        <f>-B10</f>
        <v>0</v>
      </c>
      <c r="F10" s="38"/>
      <c r="G10" s="180" t="s">
        <v>317</v>
      </c>
      <c r="H10" s="181"/>
      <c r="I10" s="103" t="s">
        <v>316</v>
      </c>
      <c r="J10" s="33">
        <f>B10</f>
        <v>0</v>
      </c>
      <c r="K10" s="182"/>
      <c r="L10" s="183"/>
      <c r="M10" s="183"/>
      <c r="P10" s="137">
        <f>0.05*B10*P5</f>
        <v>0</v>
      </c>
      <c r="R10" s="119" t="s">
        <v>35</v>
      </c>
      <c r="S10" s="165" t="str">
        <f>IF(B15,_xlfn.CONCAT(ROUND(J9*(1-B14/10),IF(B4=0,1,0))," (",ROUND(J9*(1-B14/10)/(4+IF(B16="No",0,LEFT(B16,1))),0),")", " hours"),_xlfn.CONCAT(ROUND(J9*(1-B14/10),IF(B4=0,1,0))," hours"))</f>
        <v>3456 hours</v>
      </c>
      <c r="T10" s="166"/>
      <c r="U10" s="166"/>
      <c r="V10" s="166"/>
      <c r="W10" s="166"/>
      <c r="X10" s="166"/>
      <c r="Y10" s="166"/>
      <c r="Z10" s="167"/>
    </row>
    <row r="11" spans="1:26" ht="12" customHeight="1" thickBot="1" x14ac:dyDescent="0.45">
      <c r="A11" s="93" t="s">
        <v>182</v>
      </c>
      <c r="B11" s="28">
        <v>0</v>
      </c>
      <c r="C11" s="24"/>
      <c r="D11" s="24"/>
      <c r="E11" s="41"/>
      <c r="F11" s="39"/>
      <c r="G11" s="184" t="s">
        <v>317</v>
      </c>
      <c r="H11" s="185"/>
      <c r="I11" s="103" t="s">
        <v>13</v>
      </c>
      <c r="J11" s="33">
        <f>B11</f>
        <v>0</v>
      </c>
      <c r="K11" s="186" t="s">
        <v>303</v>
      </c>
      <c r="L11" s="187"/>
      <c r="M11" s="34">
        <f>J4+J10+J11</f>
        <v>72</v>
      </c>
      <c r="N11" s="24"/>
      <c r="O11" s="24"/>
      <c r="P11" s="136">
        <f>_xlfn.XLOOKUP(B5,Locomotion[Locomotion],Locomotion[Cost X])*50*B11</f>
        <v>0</v>
      </c>
      <c r="R11" s="119" t="s">
        <v>25</v>
      </c>
      <c r="S11" s="165" t="str">
        <f>_xlfn.CONCAT(N7,N5,N4,N15:N17,N30:N34,N36:N57,N67,N69:N70)</f>
        <v xml:space="preserve">Armour (+4), Large (+3), (stopped), </v>
      </c>
      <c r="T11" s="166"/>
      <c r="U11" s="166"/>
      <c r="V11" s="166"/>
      <c r="W11" s="166"/>
      <c r="X11" s="166"/>
      <c r="Y11" s="166"/>
      <c r="Z11" s="167"/>
    </row>
    <row r="12" spans="1:26" ht="12" customHeight="1" thickBot="1" x14ac:dyDescent="0.45">
      <c r="A12" s="64" t="s">
        <v>186</v>
      </c>
      <c r="B12" s="72"/>
      <c r="C12" s="63"/>
      <c r="D12" s="63"/>
      <c r="E12" s="65" t="s">
        <v>10</v>
      </c>
      <c r="F12" s="39"/>
      <c r="G12" s="171"/>
      <c r="H12" s="172"/>
      <c r="I12" s="172"/>
      <c r="J12" s="172"/>
      <c r="K12" s="172"/>
      <c r="L12" s="172"/>
      <c r="M12" s="172"/>
      <c r="N12" s="172"/>
      <c r="O12" s="173"/>
      <c r="P12" s="135" t="s">
        <v>5</v>
      </c>
      <c r="R12" s="116" t="s">
        <v>321</v>
      </c>
      <c r="S12" s="162" t="str">
        <f>_xlfn.CONCAT(_xlfn.IFS(LEFT(B64,1)="N",B64,LEFT(B64,1)="P",B69,LEFT(B64,1)="B",B70,LEFT(B64,1)="H",B71,LEFT(B64,1)="A","Advanced",LEFT(B64,1)="V","Very Advanced",LEFT(B64,1)="S","Self-aware",LEFT(B64,1)="C","Conscious")," (INT ",H66,")")</f>
        <v>Very Advanced (INT 12)</v>
      </c>
      <c r="T12" s="163"/>
      <c r="U12" s="163"/>
      <c r="V12" s="163"/>
      <c r="W12" s="163"/>
      <c r="X12" s="163"/>
      <c r="Y12" s="163"/>
      <c r="Z12" s="164"/>
    </row>
    <row r="13" spans="1:26" ht="12" customHeight="1" x14ac:dyDescent="0.35">
      <c r="A13" s="92" t="s">
        <v>177</v>
      </c>
      <c r="B13" s="30">
        <v>0</v>
      </c>
      <c r="E13" s="40"/>
      <c r="F13" s="38"/>
      <c r="G13" s="93" t="s">
        <v>305</v>
      </c>
      <c r="H13" s="93"/>
      <c r="I13" s="93"/>
      <c r="J13" s="33" t="str">
        <f>IF(J5="-","-",J5+B13)</f>
        <v>-</v>
      </c>
      <c r="L13" s="11"/>
      <c r="O13" s="5" t="str">
        <f>IF(B13=0,"",_xlfn.CONCAT("Athletics (dexterity) ",B13,", "))</f>
        <v/>
      </c>
      <c r="P13" s="137">
        <f>IF(B13=0,0,P5*2^(B13-1))</f>
        <v>0</v>
      </c>
      <c r="R13" s="159" t="s">
        <v>475</v>
      </c>
      <c r="S13" s="168" t="str">
        <f>_xlfn.CONCAT(A30,", ",A31,", ",A32,", ",A33,", ",A34,", ",A36,", ",A37,", ",A38,", ",A39,", ",A40,", ",A41,", ",A42,", ",A43,", ",A44,", ",A45,", ",A46,", ",A47,", ",A48,", ",A49,", ",A50,", ",A51,", ",A52,", ",A53,", ",A54,", ",A55,", ",A56)</f>
        <v xml:space="preserve">Auditory Sensor, Transceiver 5 km (improved), Visual Spectrum Sensor, Voder Speaker, Wireless Data Link, Bioreaction Chamber (improved), Medical Chamber, Medical Chamber Option: Low berth (improved), Medikit (advanced), Storage Compartment (refrigerated), Vacuum Environment Protection, , , , , , , , , , , , , , , </v>
      </c>
      <c r="T13" s="169"/>
      <c r="U13" s="169"/>
      <c r="V13" s="169"/>
      <c r="W13" s="169"/>
      <c r="X13" s="169"/>
      <c r="Y13" s="169"/>
      <c r="Z13" s="170"/>
    </row>
    <row r="14" spans="1:26" ht="12" customHeight="1" x14ac:dyDescent="0.35">
      <c r="A14" s="93" t="s">
        <v>300</v>
      </c>
      <c r="B14" s="29">
        <v>0</v>
      </c>
      <c r="E14" s="40"/>
      <c r="F14" s="38"/>
      <c r="G14" s="93" t="s">
        <v>306</v>
      </c>
      <c r="H14" s="93"/>
      <c r="I14" s="93"/>
      <c r="J14" s="52">
        <f>IF(B15=TRUE,"-",IF(B5="None",0,5+J13+B14+IF(B4=0,-1,0)))</f>
        <v>0</v>
      </c>
      <c r="K14" s="32" t="str">
        <f>IF(B15,_xlfn.CONCAT("Final Endurance =  ",ROUND(J9*(1-B14/10),IF(B4=0,1,0))," (",ROUND(J9*(1-B14/10)/(4+IF(B16="No",0,LEFT(B16,1))),IF(B4=0,1,0)),")", " hours"),_xlfn.CONCAT("Final Endurance =  ",ROUND(J9*(1-B14/10),IF(B4=0,1,0))," hours"))</f>
        <v>Final Endurance =  3456 hours</v>
      </c>
      <c r="L14" s="5"/>
      <c r="M14" s="5"/>
      <c r="N14" s="5"/>
      <c r="P14" s="137">
        <f>B14*0.1*P5</f>
        <v>0</v>
      </c>
      <c r="R14" s="160"/>
      <c r="S14" s="168"/>
      <c r="T14" s="169"/>
      <c r="U14" s="169"/>
      <c r="V14" s="169"/>
      <c r="W14" s="169"/>
      <c r="X14" s="169"/>
      <c r="Y14" s="169"/>
      <c r="Z14" s="170"/>
    </row>
    <row r="15" spans="1:26" ht="12" customHeight="1" x14ac:dyDescent="0.35">
      <c r="A15" s="93" t="s">
        <v>187</v>
      </c>
      <c r="B15" s="30" t="b">
        <v>0</v>
      </c>
      <c r="E15" s="115">
        <f>IF(B15=TRUE,-ROUNDUP(E4/4,0)-IF(B4=0,1,0),0)</f>
        <v>0</v>
      </c>
      <c r="F15" s="38"/>
      <c r="G15" s="93" t="s">
        <v>178</v>
      </c>
      <c r="H15" s="93"/>
      <c r="I15" s="93"/>
      <c r="J15" s="52">
        <f>IF(B5="None",0,IF(B15=TRUE,_xlfn.XLOOKUP(N15,Speedbands[Speed Band],Speedbands[Number],,,),1))</f>
        <v>0</v>
      </c>
      <c r="N15" s="5" t="str">
        <f>IF(B5="None","(stopped), ",IF(B15=TRUE,_xlfn.CONCAT("(",_xlfn.XLOOKUP(B5,Locomotion[Locomotion],Locomotion[High Speed],,,),")"),"(idle), "))</f>
        <v xml:space="preserve">(stopped), </v>
      </c>
      <c r="P15" s="137">
        <f>-250*E15*_xlfn.XLOOKUP(B5,Locomotion[Locomotion],Locomotion[Cost X],,,)</f>
        <v>0</v>
      </c>
      <c r="R15" s="160"/>
      <c r="S15" s="168"/>
      <c r="T15" s="169"/>
      <c r="U15" s="169"/>
      <c r="V15" s="169"/>
      <c r="W15" s="169"/>
      <c r="X15" s="169"/>
      <c r="Y15" s="169"/>
      <c r="Z15" s="170"/>
    </row>
    <row r="16" spans="1:26" ht="12" customHeight="1" x14ac:dyDescent="0.35">
      <c r="A16" s="93" t="s">
        <v>188</v>
      </c>
      <c r="B16" s="30" t="s">
        <v>171</v>
      </c>
      <c r="E16" s="115">
        <f>IF(B16="No",0,-ROUNDUP(LEFT(B16,1)/10*E4,0)-IF(B4=0,1,0))</f>
        <v>0</v>
      </c>
      <c r="F16" s="38"/>
      <c r="G16" s="93" t="s">
        <v>178</v>
      </c>
      <c r="H16" s="93"/>
      <c r="I16" s="93"/>
      <c r="J16" s="52">
        <f>IF(B16="No",J15,J15+LEFT(B16,1))</f>
        <v>0</v>
      </c>
      <c r="N16" s="5" t="str">
        <f>IF(B16="No","",_xlfn.XLOOKUP(J16,Speedbands[Number],Speedbands[Speed Band],,,))</f>
        <v/>
      </c>
      <c r="P16" s="137">
        <f>IF(B16="No",0,(P5)*2^(LEFT(B16,1)))</f>
        <v>0</v>
      </c>
      <c r="R16" s="160"/>
      <c r="S16" s="168"/>
      <c r="T16" s="169"/>
      <c r="U16" s="169"/>
      <c r="V16" s="169"/>
      <c r="W16" s="169"/>
      <c r="X16" s="169"/>
      <c r="Y16" s="169"/>
      <c r="Z16" s="170"/>
    </row>
    <row r="17" spans="1:26" ht="12" customHeight="1" thickBot="1" x14ac:dyDescent="0.4">
      <c r="A17" s="93" t="s">
        <v>176</v>
      </c>
      <c r="B17" s="28" t="s">
        <v>26</v>
      </c>
      <c r="C17" s="24"/>
      <c r="D17" s="24"/>
      <c r="E17" s="115">
        <f>IF(B17="None",0,-ROUNDUP(E4/4,0)-IF(B4=0,1,0))</f>
        <v>0</v>
      </c>
      <c r="F17" s="39"/>
      <c r="G17" s="24"/>
      <c r="H17" s="24"/>
      <c r="I17" s="24"/>
      <c r="J17" s="24"/>
      <c r="K17" s="24"/>
      <c r="L17" s="18"/>
      <c r="M17" s="24"/>
      <c r="N17" s="25" t="str">
        <f>IF(_xlfn.XLOOKUP(B17,Locomotion[Locomotion],Locomotion[Traits],,,)="","",_xlfn.XLOOKUP(B17,Locomotion[Locomotion],Locomotion[Traits],,,))</f>
        <v/>
      </c>
      <c r="O17" s="24"/>
      <c r="P17" s="136">
        <f>-E17*500*_xlfn.XLOOKUP(B17,Locomotion[Locomotion],Locomotion[Cost X])</f>
        <v>0</v>
      </c>
      <c r="R17" s="161"/>
      <c r="S17" s="168"/>
      <c r="T17" s="169"/>
      <c r="U17" s="169"/>
      <c r="V17" s="169"/>
      <c r="W17" s="169"/>
      <c r="X17" s="169"/>
      <c r="Y17" s="169"/>
      <c r="Z17" s="170"/>
    </row>
    <row r="18" spans="1:26" ht="12" customHeight="1" thickBot="1" x14ac:dyDescent="0.4">
      <c r="A18" s="64" t="s">
        <v>49</v>
      </c>
      <c r="B18" s="64" t="s">
        <v>17</v>
      </c>
      <c r="C18" s="65" t="s">
        <v>46</v>
      </c>
      <c r="D18" s="65" t="s">
        <v>47</v>
      </c>
      <c r="E18" s="65" t="s">
        <v>10</v>
      </c>
      <c r="F18" s="67" t="s">
        <v>46</v>
      </c>
      <c r="G18" s="64" t="s">
        <v>304</v>
      </c>
      <c r="H18" s="64"/>
      <c r="I18" s="68"/>
      <c r="J18" s="70" t="s">
        <v>47</v>
      </c>
      <c r="K18" s="64" t="s">
        <v>304</v>
      </c>
      <c r="L18" s="64"/>
      <c r="M18" s="71"/>
      <c r="N18" s="69"/>
      <c r="O18" s="64" t="s">
        <v>90</v>
      </c>
      <c r="P18" s="135" t="s">
        <v>5</v>
      </c>
    </row>
    <row r="19" spans="1:26" ht="12" customHeight="1" x14ac:dyDescent="0.35">
      <c r="A19" s="93" t="s">
        <v>50</v>
      </c>
      <c r="B19" s="35">
        <v>3</v>
      </c>
      <c r="C19" s="61">
        <f t="shared" ref="C19:C26" si="0">IF(B19=0,0,B19*2-1)</f>
        <v>5</v>
      </c>
      <c r="D19" s="96">
        <f>ROUNDUP($O$2/2+1,0)</f>
        <v>9</v>
      </c>
      <c r="E19" s="101" cm="1">
        <f t="array" ref="E19">ROUNDUP(_xlfn.IFS($B$4-B19=0,0,$B$4-B19=1,$E$4*0.05,$B$4-B19=2,$E$4*0.08,$B$4-B19=3,$E$4*0.09,$B$4-B19&gt;3,$E$4*0.1,$B$4-B19&lt;0,$E$4*0.1*($B$4-B19)),0)</f>
        <v>13</v>
      </c>
      <c r="F19" s="54">
        <f t="shared" ref="F19:F28" si="1">C19*2</f>
        <v>10</v>
      </c>
      <c r="G19" s="16"/>
      <c r="H19" s="61">
        <f t="shared" ref="H19:H28" si="2">C19+G19</f>
        <v>5</v>
      </c>
      <c r="I19" s="62">
        <f t="shared" ref="I19:I28" si="3">IF(H19&gt;17,4,IF(H19&gt;14,3,IF(H19&gt;11,2,IF(H19&gt;8,1,IF(H19&gt;5,0,IF(H19&gt;2,-1,-2))))))</f>
        <v>-1</v>
      </c>
      <c r="J19" s="54">
        <f t="shared" ref="J19:J28" si="4">$O$2+3</f>
        <v>19</v>
      </c>
      <c r="K19" s="16">
        <v>0</v>
      </c>
      <c r="L19" s="61">
        <f t="shared" ref="L19:L28" si="5">D19+K19</f>
        <v>9</v>
      </c>
      <c r="M19" s="62">
        <f t="shared" ref="M19:M28" si="6">IF(L19&gt;17,4,IF(L19&gt;14,3,IF(L19&gt;11,2,IF(L19&gt;8,1,IF(L19&gt;5,0,IF(L19&gt;2,-1,-2))))))</f>
        <v>1</v>
      </c>
      <c r="O19" s="12" t="str">
        <f t="shared" ref="O19:O28" si="7">IF(I19&gt;0,_xlfn.CONCAT("Athletics (strength) ",I19,", "),"")</f>
        <v/>
      </c>
      <c r="P19" s="137">
        <f>IF((B19-$B$4)*100&gt;-0.2*$P$5,(B19-$B$4)*100,-0.2*$P$5)+B19*100*(G19)^2+B19*200*(K19)^2</f>
        <v>-500</v>
      </c>
      <c r="R19" s="7" t="s">
        <v>843</v>
      </c>
    </row>
    <row r="20" spans="1:26" ht="12" customHeight="1" x14ac:dyDescent="0.35">
      <c r="A20" s="93" t="s">
        <v>51</v>
      </c>
      <c r="B20" s="35">
        <v>3</v>
      </c>
      <c r="C20" s="6">
        <f t="shared" si="0"/>
        <v>5</v>
      </c>
      <c r="D20" s="97">
        <f t="shared" ref="D20:D26" si="8">IF(B20=0,0,ROUNDUP($O$2/2+1,0))</f>
        <v>9</v>
      </c>
      <c r="E20" s="101" cm="1">
        <f t="array" ref="E20">ROUNDUP(_xlfn.IFS($B$4-B20=0,0,$B$4-B20=1,$E$4*0.05,$B$4-B20=2,$E$4*0.08,$B$4-B20=3,$E$4*0.09,$B$4-B20&gt;3,$E$4*0.1,$B$4-B20&lt;0,$E$4*0.1*($B$4-B20)),0)</f>
        <v>13</v>
      </c>
      <c r="F20" s="54">
        <f t="shared" si="1"/>
        <v>10</v>
      </c>
      <c r="G20" s="16"/>
      <c r="H20" s="6">
        <f t="shared" si="2"/>
        <v>5</v>
      </c>
      <c r="I20" s="21">
        <f t="shared" si="3"/>
        <v>-1</v>
      </c>
      <c r="J20" s="54">
        <f t="shared" si="4"/>
        <v>19</v>
      </c>
      <c r="K20" s="16"/>
      <c r="L20" s="6">
        <f t="shared" si="5"/>
        <v>9</v>
      </c>
      <c r="M20" s="21">
        <f t="shared" si="6"/>
        <v>1</v>
      </c>
      <c r="O20" s="5" t="str">
        <f t="shared" si="7"/>
        <v/>
      </c>
      <c r="P20" s="137">
        <f>IF((B20-$B$4)*100&gt;-0.2*$P$5,(B20-$B$4)*100,-0.2*$P$5)+B20*100*(G20)^2+B20*200*(K20)^2</f>
        <v>-500</v>
      </c>
      <c r="R20" s="232" t="s">
        <v>879</v>
      </c>
      <c r="S20" s="189"/>
      <c r="T20" s="189"/>
      <c r="U20" s="189"/>
      <c r="V20" s="189"/>
      <c r="W20" s="189"/>
      <c r="X20" s="189"/>
      <c r="Y20" s="189"/>
      <c r="Z20" s="190"/>
    </row>
    <row r="21" spans="1:26" ht="12" customHeight="1" x14ac:dyDescent="0.35">
      <c r="A21" s="93" t="s">
        <v>52</v>
      </c>
      <c r="B21" s="30">
        <v>3</v>
      </c>
      <c r="C21" s="6">
        <f t="shared" si="0"/>
        <v>5</v>
      </c>
      <c r="D21" s="97">
        <f t="shared" si="8"/>
        <v>9</v>
      </c>
      <c r="E21" s="101" cm="1">
        <f t="array" ref="E21">IF(B21=0,0,ROUNDUP(_xlfn.IFS($B$4-B21=0,-$E$4*0.1,$B$4-B21=1,-$E$4*0.05,$B$4-B21=2,-$E$4*0.02,$B$4-B21=3,-$E$4*0.01,$B$4-B21&gt;3,-$E$4*0.01,$B$4-B21&lt;0,$E$4*0.2*($B$4-B21)),0))</f>
        <v>-2</v>
      </c>
      <c r="F21" s="54">
        <f t="shared" si="1"/>
        <v>10</v>
      </c>
      <c r="G21" s="16"/>
      <c r="H21" s="6">
        <f t="shared" si="2"/>
        <v>5</v>
      </c>
      <c r="I21" s="21">
        <f t="shared" si="3"/>
        <v>-1</v>
      </c>
      <c r="J21" s="54">
        <f t="shared" si="4"/>
        <v>19</v>
      </c>
      <c r="K21" s="16"/>
      <c r="L21" s="6">
        <f t="shared" si="5"/>
        <v>9</v>
      </c>
      <c r="M21" s="21">
        <f t="shared" si="6"/>
        <v>1</v>
      </c>
      <c r="O21" s="5" t="str">
        <f t="shared" si="7"/>
        <v/>
      </c>
      <c r="P21" s="137">
        <f t="shared" ref="P21:P26" si="9">(B21)*100+B21*100*(G21)^2+B21*200*(K21)^2</f>
        <v>300</v>
      </c>
      <c r="R21" s="191"/>
      <c r="S21" s="192"/>
      <c r="T21" s="192"/>
      <c r="U21" s="192"/>
      <c r="V21" s="192"/>
      <c r="W21" s="192"/>
      <c r="X21" s="192"/>
      <c r="Y21" s="192"/>
      <c r="Z21" s="193"/>
    </row>
    <row r="22" spans="1:26" ht="12" customHeight="1" x14ac:dyDescent="0.35">
      <c r="A22" s="93" t="s">
        <v>53</v>
      </c>
      <c r="B22" s="30">
        <v>3</v>
      </c>
      <c r="C22" s="6">
        <f t="shared" si="0"/>
        <v>5</v>
      </c>
      <c r="D22" s="97">
        <f t="shared" si="8"/>
        <v>9</v>
      </c>
      <c r="E22" s="101" cm="1">
        <f t="array" ref="E22">IF(B22=0,0,ROUNDUP(_xlfn.IFS($B$4-B22=0,-$E$4*0.1,$B$4-B22=1,-$E$4*0.05,$B$4-B22=2,-$E$4*0.02,$B$4-B22=3,-$E$4*0.01,$B$4-B22&gt;3,-$E$4*0.01,$B$4-B22&lt;0,$E$4*0.2*($B$4-B22)),0))</f>
        <v>-2</v>
      </c>
      <c r="F22" s="54">
        <f t="shared" si="1"/>
        <v>10</v>
      </c>
      <c r="G22" s="16"/>
      <c r="H22" s="6">
        <f t="shared" si="2"/>
        <v>5</v>
      </c>
      <c r="I22" s="21">
        <f t="shared" si="3"/>
        <v>-1</v>
      </c>
      <c r="J22" s="54">
        <f t="shared" si="4"/>
        <v>19</v>
      </c>
      <c r="K22" s="16"/>
      <c r="L22" s="6">
        <f t="shared" si="5"/>
        <v>9</v>
      </c>
      <c r="M22" s="21">
        <f t="shared" si="6"/>
        <v>1</v>
      </c>
      <c r="O22" s="5" t="str">
        <f t="shared" si="7"/>
        <v/>
      </c>
      <c r="P22" s="137">
        <f t="shared" si="9"/>
        <v>300</v>
      </c>
      <c r="R22" s="191"/>
      <c r="S22" s="192"/>
      <c r="T22" s="192"/>
      <c r="U22" s="192"/>
      <c r="V22" s="192"/>
      <c r="W22" s="192"/>
      <c r="X22" s="192"/>
      <c r="Y22" s="192"/>
      <c r="Z22" s="193"/>
    </row>
    <row r="23" spans="1:26" ht="12" customHeight="1" x14ac:dyDescent="0.35">
      <c r="A23" s="93" t="s">
        <v>54</v>
      </c>
      <c r="B23" s="30">
        <v>3</v>
      </c>
      <c r="C23" s="6">
        <f t="shared" si="0"/>
        <v>5</v>
      </c>
      <c r="D23" s="97">
        <f t="shared" si="8"/>
        <v>9</v>
      </c>
      <c r="E23" s="101" cm="1">
        <f t="array" ref="E23">IF(B23=0,0,ROUNDUP(_xlfn.IFS($B$4-B23=0,-$E$4*0.1,$B$4-B23=1,-$E$4*0.05,$B$4-B23=2,-$E$4*0.02,$B$4-B23=3,-$E$4*0.01,$B$4-B23&gt;3,-$E$4*0.01,$B$4-B23&lt;0,$E$4*0.2*($B$4-B23)),0))</f>
        <v>-2</v>
      </c>
      <c r="F23" s="54">
        <f t="shared" si="1"/>
        <v>10</v>
      </c>
      <c r="G23" s="16"/>
      <c r="H23" s="6">
        <f t="shared" si="2"/>
        <v>5</v>
      </c>
      <c r="I23" s="21">
        <f t="shared" si="3"/>
        <v>-1</v>
      </c>
      <c r="J23" s="54">
        <f t="shared" si="4"/>
        <v>19</v>
      </c>
      <c r="K23" s="16"/>
      <c r="L23" s="6">
        <f t="shared" si="5"/>
        <v>9</v>
      </c>
      <c r="M23" s="21">
        <f t="shared" si="6"/>
        <v>1</v>
      </c>
      <c r="O23" s="5" t="str">
        <f t="shared" si="7"/>
        <v/>
      </c>
      <c r="P23" s="137">
        <f t="shared" si="9"/>
        <v>300</v>
      </c>
      <c r="R23" s="191"/>
      <c r="S23" s="192"/>
      <c r="T23" s="192"/>
      <c r="U23" s="192"/>
      <c r="V23" s="192"/>
      <c r="W23" s="192"/>
      <c r="X23" s="192"/>
      <c r="Y23" s="192"/>
      <c r="Z23" s="193"/>
    </row>
    <row r="24" spans="1:26" ht="12" customHeight="1" x14ac:dyDescent="0.35">
      <c r="A24" s="93" t="s">
        <v>55</v>
      </c>
      <c r="B24" s="30"/>
      <c r="C24" s="6">
        <f t="shared" si="0"/>
        <v>0</v>
      </c>
      <c r="D24" s="97">
        <f t="shared" si="8"/>
        <v>0</v>
      </c>
      <c r="E24" s="101" cm="1">
        <f t="array" ref="E24">IF(B24=0,0,ROUNDUP(_xlfn.IFS($B$4-B24=0,-$E$4*0.1,$B$4-B24=1,-$E$4*0.05,$B$4-B24=2,-$E$4*0.02,$B$4-B24=3,-$E$4*0.01,$B$4-B24&gt;3,-$E$4*0.01,$B$4-B24&lt;0,$E$4*0.2*($B$4-B24)),0))</f>
        <v>0</v>
      </c>
      <c r="F24" s="54">
        <f t="shared" si="1"/>
        <v>0</v>
      </c>
      <c r="G24" s="16"/>
      <c r="H24" s="6">
        <f t="shared" si="2"/>
        <v>0</v>
      </c>
      <c r="I24" s="21">
        <f t="shared" si="3"/>
        <v>-2</v>
      </c>
      <c r="J24" s="54">
        <f t="shared" si="4"/>
        <v>19</v>
      </c>
      <c r="K24" s="16"/>
      <c r="L24" s="6">
        <f t="shared" si="5"/>
        <v>0</v>
      </c>
      <c r="M24" s="21">
        <f t="shared" si="6"/>
        <v>-2</v>
      </c>
      <c r="O24" s="5" t="str">
        <f t="shared" si="7"/>
        <v/>
      </c>
      <c r="P24" s="137">
        <f t="shared" si="9"/>
        <v>0</v>
      </c>
      <c r="R24" s="191"/>
      <c r="S24" s="192"/>
      <c r="T24" s="192"/>
      <c r="U24" s="192"/>
      <c r="V24" s="192"/>
      <c r="W24" s="192"/>
      <c r="X24" s="192"/>
      <c r="Y24" s="192"/>
      <c r="Z24" s="193"/>
    </row>
    <row r="25" spans="1:26" ht="12" customHeight="1" x14ac:dyDescent="0.35">
      <c r="A25" s="93" t="s">
        <v>56</v>
      </c>
      <c r="B25" s="30"/>
      <c r="C25" s="6">
        <f t="shared" si="0"/>
        <v>0</v>
      </c>
      <c r="D25" s="97">
        <f t="shared" si="8"/>
        <v>0</v>
      </c>
      <c r="E25" s="101" cm="1">
        <f t="array" ref="E25">IF(B25=0,0,ROUNDUP(_xlfn.IFS($B$4-B25=0,-$E$4*0.1,$B$4-B25=1,-$E$4*0.05,$B$4-B25=2,-$E$4*0.02,$B$4-B25=3,-$E$4*0.01,$B$4-B25&gt;3,-$E$4*0.01,$B$4-B25&lt;0,$E$4*0.2*($B$4-B25)),0))</f>
        <v>0</v>
      </c>
      <c r="F25" s="54">
        <f t="shared" si="1"/>
        <v>0</v>
      </c>
      <c r="G25" s="16"/>
      <c r="H25" s="6">
        <f t="shared" si="2"/>
        <v>0</v>
      </c>
      <c r="I25" s="21">
        <f t="shared" si="3"/>
        <v>-2</v>
      </c>
      <c r="J25" s="54">
        <f t="shared" si="4"/>
        <v>19</v>
      </c>
      <c r="K25" s="16"/>
      <c r="L25" s="6">
        <f t="shared" si="5"/>
        <v>0</v>
      </c>
      <c r="M25" s="21">
        <f t="shared" si="6"/>
        <v>-2</v>
      </c>
      <c r="O25" s="5" t="str">
        <f t="shared" si="7"/>
        <v/>
      </c>
      <c r="P25" s="137">
        <f t="shared" si="9"/>
        <v>0</v>
      </c>
      <c r="R25" s="191"/>
      <c r="S25" s="192"/>
      <c r="T25" s="192"/>
      <c r="U25" s="192"/>
      <c r="V25" s="192"/>
      <c r="W25" s="192"/>
      <c r="X25" s="192"/>
      <c r="Y25" s="192"/>
      <c r="Z25" s="193"/>
    </row>
    <row r="26" spans="1:26" ht="12" customHeight="1" thickBot="1" x14ac:dyDescent="0.4">
      <c r="A26" s="95" t="s">
        <v>57</v>
      </c>
      <c r="B26" s="80"/>
      <c r="C26" s="82">
        <f t="shared" si="0"/>
        <v>0</v>
      </c>
      <c r="D26" s="98">
        <f t="shared" si="8"/>
        <v>0</v>
      </c>
      <c r="E26" s="59" cm="1">
        <f t="array" ref="E26">IF(B26=0,0,ROUNDUP(_xlfn.IFS($B$4-B26=0,-$E$4*0.1,$B$4-B26=1,-$E$4*0.05,$B$4-B26=2,-$E$4*0.02,$B$4-B26=3,-$E$4*0.01,$B$4-B26&gt;3,-$E$4*0.01,$B$4-B26&lt;0,$E$4*0.2*($B$4-B26)),0))</f>
        <v>0</v>
      </c>
      <c r="F26" s="54">
        <f t="shared" si="1"/>
        <v>0</v>
      </c>
      <c r="G26" s="81"/>
      <c r="H26" s="82">
        <f t="shared" si="2"/>
        <v>0</v>
      </c>
      <c r="I26" s="83">
        <f t="shared" si="3"/>
        <v>-2</v>
      </c>
      <c r="J26" s="54">
        <f t="shared" si="4"/>
        <v>19</v>
      </c>
      <c r="K26" s="81"/>
      <c r="L26" s="82">
        <f t="shared" si="5"/>
        <v>0</v>
      </c>
      <c r="M26" s="83">
        <f t="shared" si="6"/>
        <v>-2</v>
      </c>
      <c r="O26" s="5" t="str">
        <f t="shared" si="7"/>
        <v/>
      </c>
      <c r="P26" s="137">
        <f t="shared" si="9"/>
        <v>0</v>
      </c>
      <c r="R26" s="191"/>
      <c r="S26" s="192"/>
      <c r="T26" s="192"/>
      <c r="U26" s="192"/>
      <c r="V26" s="192"/>
      <c r="W26" s="192"/>
      <c r="X26" s="192"/>
      <c r="Y26" s="192"/>
      <c r="Z26" s="193"/>
    </row>
    <row r="27" spans="1:26" ht="12" customHeight="1" x14ac:dyDescent="0.35">
      <c r="A27" s="94" t="str">
        <f>IF(B5="Walker", "Modified Leg One", "[null]")</f>
        <v>[null]</v>
      </c>
      <c r="B27" s="84" t="b">
        <v>0</v>
      </c>
      <c r="C27" s="87">
        <f>IF(B27=FALSE,0,$B$4*2-1)</f>
        <v>0</v>
      </c>
      <c r="D27" s="99">
        <f>IF(B27=FALSE,0,ROUNDUP($O$2/2+1,0))</f>
        <v>0</v>
      </c>
      <c r="E27" s="102"/>
      <c r="F27" s="85">
        <f t="shared" si="1"/>
        <v>0</v>
      </c>
      <c r="G27" s="86"/>
      <c r="H27" s="87">
        <f t="shared" si="2"/>
        <v>0</v>
      </c>
      <c r="I27" s="88">
        <f t="shared" si="3"/>
        <v>-2</v>
      </c>
      <c r="J27" s="85">
        <f t="shared" si="4"/>
        <v>19</v>
      </c>
      <c r="K27" s="86"/>
      <c r="L27" s="87">
        <f t="shared" si="5"/>
        <v>0</v>
      </c>
      <c r="M27" s="88">
        <f t="shared" si="6"/>
        <v>-2</v>
      </c>
      <c r="N27" s="74"/>
      <c r="O27" s="89" t="str">
        <f t="shared" si="7"/>
        <v/>
      </c>
      <c r="P27" s="138">
        <f>(B27)*100*$B$4+B27*$B$4*100*(G27)^2+B27*$B$4*200*(K27)^2</f>
        <v>0</v>
      </c>
      <c r="R27" s="191"/>
      <c r="S27" s="192"/>
      <c r="T27" s="192"/>
      <c r="U27" s="192"/>
      <c r="V27" s="192"/>
      <c r="W27" s="192"/>
      <c r="X27" s="192"/>
      <c r="Y27" s="192"/>
      <c r="Z27" s="193"/>
    </row>
    <row r="28" spans="1:26" ht="12" customHeight="1" thickBot="1" x14ac:dyDescent="0.4">
      <c r="A28" s="93" t="str">
        <f>IF(B5="Walker", "Modified Leg Two", "[null]")</f>
        <v>[null]</v>
      </c>
      <c r="B28" s="28" t="b">
        <v>0</v>
      </c>
      <c r="C28" s="20">
        <f>IF(B28=FALSE,0,$B$4*2-1)</f>
        <v>0</v>
      </c>
      <c r="D28" s="100">
        <f>IF(B28=FALSE,0,ROUNDUP($O$2/2+1,0))</f>
        <v>0</v>
      </c>
      <c r="E28" s="101"/>
      <c r="F28" s="55">
        <f t="shared" si="1"/>
        <v>0</v>
      </c>
      <c r="G28" s="19"/>
      <c r="H28" s="20">
        <f t="shared" si="2"/>
        <v>0</v>
      </c>
      <c r="I28" s="22">
        <f t="shared" si="3"/>
        <v>-2</v>
      </c>
      <c r="J28" s="55">
        <f t="shared" si="4"/>
        <v>19</v>
      </c>
      <c r="K28" s="19"/>
      <c r="L28" s="20">
        <f t="shared" si="5"/>
        <v>0</v>
      </c>
      <c r="M28" s="22">
        <f t="shared" si="6"/>
        <v>-2</v>
      </c>
      <c r="N28" s="24"/>
      <c r="O28" s="5" t="str">
        <f t="shared" si="7"/>
        <v/>
      </c>
      <c r="P28" s="136">
        <f>(B28)*100*$B$4+B28*$B$4*100*(G28)^2+B28*$B$4*200*(K28)^2</f>
        <v>0</v>
      </c>
      <c r="R28" s="191"/>
      <c r="S28" s="192"/>
      <c r="T28" s="192"/>
      <c r="U28" s="192"/>
      <c r="V28" s="192"/>
      <c r="W28" s="192"/>
      <c r="X28" s="192"/>
      <c r="Y28" s="192"/>
      <c r="Z28" s="193"/>
    </row>
    <row r="29" spans="1:26" ht="12" customHeight="1" thickBot="1" x14ac:dyDescent="0.4">
      <c r="A29" s="64" t="s">
        <v>43</v>
      </c>
      <c r="B29" s="171"/>
      <c r="C29" s="172"/>
      <c r="D29" s="173"/>
      <c r="E29" s="72" t="s">
        <v>10</v>
      </c>
      <c r="F29" s="67" t="s">
        <v>97</v>
      </c>
      <c r="G29" s="64"/>
      <c r="H29" s="174" t="s">
        <v>301</v>
      </c>
      <c r="I29" s="175"/>
      <c r="J29" s="176"/>
      <c r="K29" s="77" t="s">
        <v>4</v>
      </c>
      <c r="L29" s="66"/>
      <c r="M29" s="71"/>
      <c r="N29" s="66" t="s">
        <v>25</v>
      </c>
      <c r="O29" s="64" t="s">
        <v>90</v>
      </c>
      <c r="P29" s="135" t="s">
        <v>5</v>
      </c>
      <c r="R29" s="191"/>
      <c r="S29" s="192"/>
      <c r="T29" s="192"/>
      <c r="U29" s="192"/>
      <c r="V29" s="192"/>
      <c r="W29" s="192"/>
      <c r="X29" s="192"/>
      <c r="Y29" s="192"/>
      <c r="Z29" s="193"/>
    </row>
    <row r="30" spans="1:26" ht="12" customHeight="1" x14ac:dyDescent="0.35">
      <c r="A30" s="197" t="s">
        <v>627</v>
      </c>
      <c r="B30" s="198"/>
      <c r="C30" s="198"/>
      <c r="D30" s="198"/>
      <c r="E30" s="101">
        <f>_xlfn.XLOOKUP(A30,OptionsTable[Name],OptionsTable[Slots],,,)</f>
        <v>0</v>
      </c>
      <c r="F30" s="38">
        <f>IF(_xlfn.XLOOKUP(A30,OptionsTable[Name],OptionsTable[xS],,,)=FALSE,1,$E$4)</f>
        <v>1</v>
      </c>
      <c r="G30" s="38"/>
      <c r="H30" s="199" t="str">
        <f>IF(_xlfn.XLOOKUP(A30,OptionsTable[Name],OptionsTable[Notes],,,)="","",_xlfn.XLOOKUP(A30,OptionsTable[Name],OptionsTable[Notes],,,))</f>
        <v>20-20,000 Hz, 0dB</v>
      </c>
      <c r="I30" s="200"/>
      <c r="J30" s="200"/>
      <c r="K30" s="44">
        <f>_xlfn.XLOOKUP(A30,OptionsTable[Name],OptionsTable[TL],,,)</f>
        <v>7</v>
      </c>
      <c r="N30" s="5" t="str">
        <f>IF(_xlfn.XLOOKUP(A30,OptionsTable[Name],OptionsTable[Trait],,,)="","",_xlfn.XLOOKUP(A30,OptionsTable[Name],OptionsTable[Trait],,,))</f>
        <v/>
      </c>
      <c r="O30" s="5" t="str">
        <f>IF(_xlfn.XLOOKUP(A30,OptionsTable[Name],OptionsTable[Skill],,,)="","",_xlfn.XLOOKUP(A30,OptionsTable[Name],OptionsTable[Skill],,,))</f>
        <v/>
      </c>
      <c r="P30" s="137">
        <f>_xlfn.XLOOKUP(A30,OptionsTable[Name],OptionsTable[DS],,,)*F30</f>
        <v>0</v>
      </c>
      <c r="R30" s="191"/>
      <c r="S30" s="192"/>
      <c r="T30" s="192"/>
      <c r="U30" s="192"/>
      <c r="V30" s="192"/>
      <c r="W30" s="192"/>
      <c r="X30" s="192"/>
      <c r="Y30" s="192"/>
      <c r="Z30" s="193"/>
    </row>
    <row r="31" spans="1:26" ht="12" customHeight="1" x14ac:dyDescent="0.35">
      <c r="A31" s="197" t="s">
        <v>464</v>
      </c>
      <c r="B31" s="198"/>
      <c r="C31" s="198"/>
      <c r="D31" s="198"/>
      <c r="E31" s="101">
        <f>_xlfn.XLOOKUP(A31,OptionsTable[Name],OptionsTable[Slots],,,)</f>
        <v>0</v>
      </c>
      <c r="F31" s="38">
        <f>IF(_xlfn.XLOOKUP(A31,OptionsTable[Name],OptionsTable[xS],,,)=FALSE,1,$E$4)</f>
        <v>1</v>
      </c>
      <c r="G31" s="38"/>
      <c r="H31" s="199" t="str">
        <f>IF(_xlfn.XLOOKUP(A31,OptionsTable[Name],OptionsTable[Notes],,,)="","",_xlfn.XLOOKUP(A31,OptionsTable[Name],OptionsTable[Notes],,,))</f>
        <v/>
      </c>
      <c r="I31" s="200"/>
      <c r="J31" s="200"/>
      <c r="K31" s="44">
        <f>_xlfn.XLOOKUP(A31,OptionsTable[Name],OptionsTable[TL],,,)</f>
        <v>8</v>
      </c>
      <c r="N31" s="5" t="str">
        <f>IF(_xlfn.XLOOKUP(A31,OptionsTable[Name],OptionsTable[Trait],,,)="","",_xlfn.XLOOKUP(A31,OptionsTable[Name],OptionsTable[Trait],,,))</f>
        <v/>
      </c>
      <c r="O31" s="5" t="str">
        <f>IF(_xlfn.XLOOKUP(A31,OptionsTable[Name],OptionsTable[Skill],,,)="","",_xlfn.XLOOKUP(A31,OptionsTable[Name],OptionsTable[Skill],,,))</f>
        <v/>
      </c>
      <c r="P31" s="137">
        <f>_xlfn.XLOOKUP(A31,OptionsTable[Name],OptionsTable[DS],,,)*F31</f>
        <v>0</v>
      </c>
      <c r="R31" s="191"/>
      <c r="S31" s="192"/>
      <c r="T31" s="192"/>
      <c r="U31" s="192"/>
      <c r="V31" s="192"/>
      <c r="W31" s="192"/>
      <c r="X31" s="192"/>
      <c r="Y31" s="192"/>
      <c r="Z31" s="193"/>
    </row>
    <row r="32" spans="1:26" ht="12" customHeight="1" x14ac:dyDescent="0.35">
      <c r="A32" s="197" t="s">
        <v>39</v>
      </c>
      <c r="B32" s="198"/>
      <c r="C32" s="198"/>
      <c r="D32" s="198"/>
      <c r="E32" s="101">
        <f>_xlfn.XLOOKUP(A32,OptionsTable[Name],OptionsTable[Slots],,,)</f>
        <v>0</v>
      </c>
      <c r="F32" s="38">
        <f>IF(_xlfn.XLOOKUP(A32,OptionsTable[Name],OptionsTable[xS],,,)=FALSE,1,$E$4)</f>
        <v>1</v>
      </c>
      <c r="G32" s="38"/>
      <c r="H32" s="199" t="str">
        <f>IF(_xlfn.XLOOKUP(A32,OptionsTable[Name],OptionsTable[Notes],,,)="","",_xlfn.XLOOKUP(A32,OptionsTable[Name],OptionsTable[Notes],,,))</f>
        <v/>
      </c>
      <c r="I32" s="200"/>
      <c r="J32" s="200"/>
      <c r="K32" s="44">
        <f>_xlfn.XLOOKUP(A32,OptionsTable[Name],OptionsTable[TL],,,)</f>
        <v>7</v>
      </c>
      <c r="N32" s="5" t="str">
        <f>IF(_xlfn.XLOOKUP(A32,OptionsTable[Name],OptionsTable[Trait],,,)="","",_xlfn.XLOOKUP(A32,OptionsTable[Name],OptionsTable[Trait],,,))</f>
        <v/>
      </c>
      <c r="O32" s="5" t="str">
        <f>IF(_xlfn.XLOOKUP(A32,OptionsTable[Name],OptionsTable[Skill],,,)="","",_xlfn.XLOOKUP(A32,OptionsTable[Name],OptionsTable[Skill],,,))</f>
        <v/>
      </c>
      <c r="P32" s="137">
        <f>_xlfn.XLOOKUP(A32,OptionsTable[Name],OptionsTable[DS],,,)*F32</f>
        <v>0</v>
      </c>
      <c r="R32" s="191"/>
      <c r="S32" s="192"/>
      <c r="T32" s="192"/>
      <c r="U32" s="192"/>
      <c r="V32" s="192"/>
      <c r="W32" s="192"/>
      <c r="X32" s="192"/>
      <c r="Y32" s="192"/>
      <c r="Z32" s="193"/>
    </row>
    <row r="33" spans="1:26" ht="12" customHeight="1" x14ac:dyDescent="0.35">
      <c r="A33" s="197" t="s">
        <v>41</v>
      </c>
      <c r="B33" s="198"/>
      <c r="C33" s="198"/>
      <c r="D33" s="198"/>
      <c r="E33" s="101">
        <f>_xlfn.XLOOKUP(A33,OptionsTable[Name],OptionsTable[Slots],,,)</f>
        <v>0</v>
      </c>
      <c r="F33" s="38">
        <f>IF(_xlfn.XLOOKUP(A33,OptionsTable[Name],OptionsTable[xS],,,)=FALSE,1,$E$4)</f>
        <v>1</v>
      </c>
      <c r="G33" s="38"/>
      <c r="H33" s="199" t="str">
        <f>IF(_xlfn.XLOOKUP(A33,OptionsTable[Name],OptionsTable[Notes],,,)="","",_xlfn.XLOOKUP(A33,OptionsTable[Name],OptionsTable[Notes],,,))</f>
        <v/>
      </c>
      <c r="I33" s="200"/>
      <c r="J33" s="200"/>
      <c r="K33" s="44">
        <f>_xlfn.XLOOKUP(A33,OptionsTable[Name],OptionsTable[TL],,,)</f>
        <v>8</v>
      </c>
      <c r="N33" s="5" t="str">
        <f>IF(_xlfn.XLOOKUP(A33,OptionsTable[Name],OptionsTable[Trait],,,)="","",_xlfn.XLOOKUP(A33,OptionsTable[Name],OptionsTable[Trait],,,))</f>
        <v/>
      </c>
      <c r="O33" s="5" t="str">
        <f>IF(_xlfn.XLOOKUP(A33,OptionsTable[Name],OptionsTable[Skill],,,)="","",_xlfn.XLOOKUP(A33,OptionsTable[Name],OptionsTable[Skill],,,))</f>
        <v/>
      </c>
      <c r="P33" s="137">
        <f>_xlfn.XLOOKUP(A33,OptionsTable[Name],OptionsTable[DS],,,)*F33</f>
        <v>0</v>
      </c>
      <c r="R33" s="191"/>
      <c r="S33" s="192"/>
      <c r="T33" s="192"/>
      <c r="U33" s="192"/>
      <c r="V33" s="192"/>
      <c r="W33" s="192"/>
      <c r="X33" s="192"/>
      <c r="Y33" s="192"/>
      <c r="Z33" s="193"/>
    </row>
    <row r="34" spans="1:26" ht="12" customHeight="1" thickBot="1" x14ac:dyDescent="0.4">
      <c r="A34" s="201" t="s">
        <v>42</v>
      </c>
      <c r="B34" s="202"/>
      <c r="C34" s="202"/>
      <c r="D34" s="202"/>
      <c r="E34" s="101">
        <f>_xlfn.XLOOKUP(A34,OptionsTable[Name],OptionsTable[Slots],,,)</f>
        <v>0</v>
      </c>
      <c r="F34" s="39">
        <f>IF(_xlfn.XLOOKUP(A34,OptionsTable[Name],OptionsTable[xS],,,)=FALSE,1,$E$4)</f>
        <v>1</v>
      </c>
      <c r="G34" s="39"/>
      <c r="H34" s="199" t="str">
        <f>IF(_xlfn.XLOOKUP(A34,OptionsTable[Name],OptionsTable[Notes],,,)="","",_xlfn.XLOOKUP(A34,OptionsTable[Name],OptionsTable[Notes],,,))</f>
        <v>50m range</v>
      </c>
      <c r="I34" s="200"/>
      <c r="J34" s="200"/>
      <c r="K34" s="43">
        <f>_xlfn.XLOOKUP(A34,OptionsTable[Name],OptionsTable[TL],,,)</f>
        <v>8</v>
      </c>
      <c r="L34" s="18"/>
      <c r="M34" s="24"/>
      <c r="N34" s="25" t="str">
        <f>IF(_xlfn.XLOOKUP(A34,OptionsTable[Name],OptionsTable[Trait],,,)="","",_xlfn.XLOOKUP(A34,OptionsTable[Name],OptionsTable[Trait],,,))</f>
        <v/>
      </c>
      <c r="O34" s="25" t="str">
        <f>IF(_xlfn.XLOOKUP(A34,OptionsTable[Name],OptionsTable[Skill],,,)="","",_xlfn.XLOOKUP(A34,OptionsTable[Name],OptionsTable[Skill],,,))</f>
        <v/>
      </c>
      <c r="P34" s="136">
        <f>_xlfn.XLOOKUP(A34,OptionsTable[Name],OptionsTable[DS],,,)*F34</f>
        <v>0</v>
      </c>
      <c r="R34" s="191"/>
      <c r="S34" s="192"/>
      <c r="T34" s="192"/>
      <c r="U34" s="192"/>
      <c r="V34" s="192"/>
      <c r="W34" s="192"/>
      <c r="X34" s="192"/>
      <c r="Y34" s="192"/>
      <c r="Z34" s="193"/>
    </row>
    <row r="35" spans="1:26" ht="12" customHeight="1" thickBot="1" x14ac:dyDescent="0.4">
      <c r="A35" s="64" t="s">
        <v>212</v>
      </c>
      <c r="B35" s="64"/>
      <c r="C35" s="64"/>
      <c r="D35" s="64"/>
      <c r="E35" s="64"/>
      <c r="F35" s="39"/>
      <c r="G35" s="65" t="s">
        <v>191</v>
      </c>
      <c r="H35" s="174" t="s">
        <v>301</v>
      </c>
      <c r="I35" s="175"/>
      <c r="J35" s="176"/>
      <c r="K35" s="77" t="s">
        <v>4</v>
      </c>
      <c r="L35" s="127" t="s">
        <v>615</v>
      </c>
      <c r="M35" s="64"/>
      <c r="N35" s="64" t="s">
        <v>25</v>
      </c>
      <c r="O35" s="64" t="s">
        <v>90</v>
      </c>
      <c r="P35" s="135" t="s">
        <v>5</v>
      </c>
      <c r="R35" s="191"/>
      <c r="S35" s="192"/>
      <c r="T35" s="192"/>
      <c r="U35" s="192"/>
      <c r="V35" s="192"/>
      <c r="W35" s="192"/>
      <c r="X35" s="192"/>
      <c r="Y35" s="192"/>
      <c r="Z35" s="193"/>
    </row>
    <row r="36" spans="1:26" ht="12" customHeight="1" x14ac:dyDescent="0.35">
      <c r="A36" s="197" t="s">
        <v>592</v>
      </c>
      <c r="B36" s="198"/>
      <c r="C36" s="198"/>
      <c r="D36" s="198"/>
      <c r="E36" s="101">
        <f>IF(AND($B$4=0,_xlfn.XLOOKUP(A36,OptionsTable[Name],OptionsTable[Size0],,,)=TRUE),0,IF(_xlfn.XLOOKUP(A36,OptionsTable[Name],OptionsTable[pSlot],,,)=0,IF(G36="",-_xlfn.XLOOKUP(A36,OptionsTable[Name],OptionsTable[Slots],,,),-_xlfn.XLOOKUP(A36,OptionsTable[Name],OptionsTable[Slots],,,)*G36),-MAX(ROUNDUP(_xlfn.XLOOKUP(A36,OptionsTable[Name],OptionsTable[pSlot],,,)*$E$4,0),1)))</f>
        <v>-2</v>
      </c>
      <c r="F36" s="38">
        <f>IF(_xlfn.XLOOKUP(A36,OptionsTable[Name],OptionsTable[xS],,,)=FALSE,1,IF($B$4&gt;0,$E$4,1))</f>
        <v>1</v>
      </c>
      <c r="G36" s="58">
        <v>2</v>
      </c>
      <c r="H36" s="199" t="str">
        <f>IF(_xlfn.XLOOKUP(A36,OptionsTable[Name],OptionsTable[Notes],,,)="","",_xlfn.XLOOKUP(A36,OptionsTable[Name],OptionsTable[Notes],,,))</f>
        <v>Tissues</v>
      </c>
      <c r="I36" s="200"/>
      <c r="J36" s="200"/>
      <c r="K36" s="44">
        <f>_xlfn.XLOOKUP(A36,OptionsTable[Name],OptionsTable[TL],,,)</f>
        <v>8</v>
      </c>
      <c r="L36" s="120" t="str">
        <f t="shared" ref="L36:L56" si="10">IF(LEFT(A36,7)="Android",1,IF(LEFT(A36,16)="Biological Robot", 1,""))</f>
        <v/>
      </c>
      <c r="N36" s="5" t="str">
        <f>IF(_xlfn.XLOOKUP(A36,OptionsTable[Name],OptionsTable[Trait],,,)="","",_xlfn.XLOOKUP(A36,OptionsTable[Name],OptionsTable[Trait],,,))</f>
        <v/>
      </c>
      <c r="O36" s="5" t="str">
        <f>IF(_xlfn.XLOOKUP(A36,OptionsTable[Name],OptionsTable[Skill],,,)="","",_xlfn.XLOOKUP(A36,OptionsTable[Name],OptionsTable[Skill],,,))</f>
        <v/>
      </c>
      <c r="P36" s="137">
        <f>IF(G36="",_xlfn.XLOOKUP(A36,OptionsTable[Name],OptionsTable[Cost],,,)*F36,_xlfn.XLOOKUP(A36,OptionsTable[Name],OptionsTable[Cost],,,)*F36*G36)</f>
        <v>4000</v>
      </c>
      <c r="R36" s="191"/>
      <c r="S36" s="192"/>
      <c r="T36" s="192"/>
      <c r="U36" s="192"/>
      <c r="V36" s="192"/>
      <c r="W36" s="192"/>
      <c r="X36" s="192"/>
      <c r="Y36" s="192"/>
      <c r="Z36" s="193"/>
    </row>
    <row r="37" spans="1:26" ht="12" customHeight="1" x14ac:dyDescent="0.35">
      <c r="A37" s="197" t="s">
        <v>240</v>
      </c>
      <c r="B37" s="198"/>
      <c r="C37" s="198"/>
      <c r="D37" s="198"/>
      <c r="E37" s="101">
        <f>IF(AND($B$4=0,_xlfn.XLOOKUP(A37,OptionsTable[Name],OptionsTable[Size0],,,)=TRUE),0,IF(_xlfn.XLOOKUP(A37,OptionsTable[Name],OptionsTable[pSlot],,,)=0,IF(G37="",-_xlfn.XLOOKUP(A37,OptionsTable[Name],OptionsTable[Slots],,,),-_xlfn.XLOOKUP(A37,OptionsTable[Name],OptionsTable[Slots],,,)*G37),-MAX(ROUNDUP(_xlfn.XLOOKUP(A37,OptionsTable[Name],OptionsTable[pSlot],,,)*$E$4,0),1)))</f>
        <v>-128</v>
      </c>
      <c r="F37" s="38">
        <f>IF(_xlfn.XLOOKUP(A37,OptionsTable[Name],OptionsTable[xS],,,)=FALSE,1,IF($B$4&gt;0,$E$4,1))</f>
        <v>1</v>
      </c>
      <c r="G37" s="58">
        <v>128</v>
      </c>
      <c r="H37" s="199" t="str">
        <f>IF(_xlfn.XLOOKUP(A37,OptionsTable[Name],OptionsTable[Notes],,,)="","",_xlfn.XLOOKUP(A37,OptionsTable[Name],OptionsTable[Notes],,,))</f>
        <v>DM+1 to Max skill</v>
      </c>
      <c r="I37" s="200"/>
      <c r="J37" s="200"/>
      <c r="K37" s="44">
        <f>_xlfn.XLOOKUP(A37,OptionsTable[Name],OptionsTable[TL],,,)</f>
        <v>8</v>
      </c>
      <c r="L37" s="120" t="str">
        <f t="shared" si="10"/>
        <v/>
      </c>
      <c r="N37" s="5" t="str">
        <f>IF(_xlfn.XLOOKUP(A37,OptionsTable[Name],OptionsTable[Trait],,,)="","",_xlfn.XLOOKUP(A37,OptionsTable[Name],OptionsTable[Trait],,,))</f>
        <v/>
      </c>
      <c r="O37" s="5" t="str">
        <f>IF(_xlfn.XLOOKUP(A37,OptionsTable[Name],OptionsTable[Skill],,,)="","",_xlfn.XLOOKUP(A37,OptionsTable[Name],OptionsTable[Skill],,,))</f>
        <v/>
      </c>
      <c r="P37" s="137">
        <f>IF(G37="",_xlfn.XLOOKUP(A37,OptionsTable[Name],OptionsTable[Cost],,,)*F37,_xlfn.XLOOKUP(A37,OptionsTable[Name],OptionsTable[Cost],,,)*F37*G37)</f>
        <v>25600</v>
      </c>
      <c r="R37" s="191"/>
      <c r="S37" s="192"/>
      <c r="T37" s="192"/>
      <c r="U37" s="192"/>
      <c r="V37" s="192"/>
      <c r="W37" s="192"/>
      <c r="X37" s="192"/>
      <c r="Y37" s="192"/>
      <c r="Z37" s="193"/>
    </row>
    <row r="38" spans="1:26" ht="12" customHeight="1" x14ac:dyDescent="0.35">
      <c r="A38" s="197" t="s">
        <v>560</v>
      </c>
      <c r="B38" s="198"/>
      <c r="C38" s="198"/>
      <c r="D38" s="198"/>
      <c r="E38" s="101">
        <f>IF(AND($B$4=0,_xlfn.XLOOKUP(A38,OptionsTable[Name],OptionsTable[Size0],,,)=TRUE),0,IF(_xlfn.XLOOKUP(A38,OptionsTable[Name],OptionsTable[pSlot],,,)=0,IF(G38="",-_xlfn.XLOOKUP(A38,OptionsTable[Name],OptionsTable[Slots],,,),-_xlfn.XLOOKUP(A38,OptionsTable[Name],OptionsTable[Slots],,,)*G38),-MAX(ROUNDUP(_xlfn.XLOOKUP(A38,OptionsTable[Name],OptionsTable[pSlot],,,)*$E$4,0),1)))</f>
        <v>-8</v>
      </c>
      <c r="F38" s="38">
        <f>IF(_xlfn.XLOOKUP(A38,OptionsTable[Name],OptionsTable[xS],,,)=FALSE,1,IF($B$4&gt;0,$E$4,1))</f>
        <v>1</v>
      </c>
      <c r="G38" s="58"/>
      <c r="H38" s="199" t="str">
        <f>IF(_xlfn.XLOOKUP(A38,OptionsTable[Name],OptionsTable[Notes],,,)="","",_xlfn.XLOOKUP(A38,OptionsTable[Name],OptionsTable[Notes],,,))</f>
        <v>DM+1 to revival</v>
      </c>
      <c r="I38" s="200"/>
      <c r="J38" s="200"/>
      <c r="K38" s="44">
        <f>_xlfn.XLOOKUP(A38,OptionsTable[Name],OptionsTable[TL],,,)</f>
        <v>12</v>
      </c>
      <c r="L38" s="120" t="str">
        <f t="shared" si="10"/>
        <v/>
      </c>
      <c r="N38" s="5" t="str">
        <f>IF(_xlfn.XLOOKUP(A38,OptionsTable[Name],OptionsTable[Trait],,,)="","",_xlfn.XLOOKUP(A38,OptionsTable[Name],OptionsTable[Trait],,,))</f>
        <v/>
      </c>
      <c r="O38" s="5" t="str">
        <f>IF(_xlfn.XLOOKUP(A38,OptionsTable[Name],OptionsTable[Skill],,,)="","",_xlfn.XLOOKUP(A38,OptionsTable[Name],OptionsTable[Skill],,,))</f>
        <v/>
      </c>
      <c r="P38" s="137">
        <f>IF(G38="",_xlfn.XLOOKUP(A38,OptionsTable[Name],OptionsTable[Cost],,,)*F38,_xlfn.XLOOKUP(A38,OptionsTable[Name],OptionsTable[Cost],,,)*F38*G38)</f>
        <v>20000</v>
      </c>
      <c r="R38" s="191"/>
      <c r="S38" s="192"/>
      <c r="T38" s="192"/>
      <c r="U38" s="192"/>
      <c r="V38" s="192"/>
      <c r="W38" s="192"/>
      <c r="X38" s="192"/>
      <c r="Y38" s="192"/>
      <c r="Z38" s="193"/>
    </row>
    <row r="39" spans="1:26" ht="12" customHeight="1" x14ac:dyDescent="0.35">
      <c r="A39" s="197" t="s">
        <v>203</v>
      </c>
      <c r="B39" s="198"/>
      <c r="C39" s="198"/>
      <c r="D39" s="198"/>
      <c r="E39" s="101">
        <f>IF(AND($B$4=0,_xlfn.XLOOKUP(A39,OptionsTable[Name],OptionsTable[Size0],,,)=TRUE),0,IF(_xlfn.XLOOKUP(A39,OptionsTable[Name],OptionsTable[pSlot],,,)=0,IF(G39="",-_xlfn.XLOOKUP(A39,OptionsTable[Name],OptionsTable[Slots],,,),-_xlfn.XLOOKUP(A39,OptionsTable[Name],OptionsTable[Slots],,,)*G39),-MAX(ROUNDUP(_xlfn.XLOOKUP(A39,OptionsTable[Name],OptionsTable[pSlot],,,)*$E$4,0),1)))</f>
        <v>-1</v>
      </c>
      <c r="F39" s="38">
        <f>IF(_xlfn.XLOOKUP(A39,OptionsTable[Name],OptionsTable[xS],,,)=FALSE,1,IF($B$4&gt;0,$E$4,1))</f>
        <v>1</v>
      </c>
      <c r="G39" s="58"/>
      <c r="H39" s="199" t="str">
        <f>IF(_xlfn.XLOOKUP(A39,OptionsTable[Name],OptionsTable[Notes],,,)="","",_xlfn.XLOOKUP(A39,OptionsTable[Name],OptionsTable[Notes],,,))</f>
        <v>3 max skill</v>
      </c>
      <c r="I39" s="200"/>
      <c r="J39" s="200"/>
      <c r="K39" s="44">
        <f>_xlfn.XLOOKUP(A39,OptionsTable[Name],OptionsTable[TL],,,)</f>
        <v>14</v>
      </c>
      <c r="L39" s="120" t="str">
        <f t="shared" si="10"/>
        <v/>
      </c>
      <c r="N39" s="5" t="str">
        <f>IF(_xlfn.XLOOKUP(A39,OptionsTable[Name],OptionsTable[Trait],,,)="","",_xlfn.XLOOKUP(A39,OptionsTable[Name],OptionsTable[Trait],,,))</f>
        <v/>
      </c>
      <c r="O39" s="5" t="str">
        <f>IF(_xlfn.XLOOKUP(A39,OptionsTable[Name],OptionsTable[Skill],,,)="","",_xlfn.XLOOKUP(A39,OptionsTable[Name],OptionsTable[Skill],,,))</f>
        <v/>
      </c>
      <c r="P39" s="137">
        <f>IF(G39="",_xlfn.XLOOKUP(A39,OptionsTable[Name],OptionsTable[Cost],,,)*F39,_xlfn.XLOOKUP(A39,OptionsTable[Name],OptionsTable[Cost],,,)*F39*G39)</f>
        <v>10000</v>
      </c>
      <c r="R39" s="191"/>
      <c r="S39" s="192"/>
      <c r="T39" s="192"/>
      <c r="U39" s="192"/>
      <c r="V39" s="192"/>
      <c r="W39" s="192"/>
      <c r="X39" s="192"/>
      <c r="Y39" s="192"/>
      <c r="Z39" s="193"/>
    </row>
    <row r="40" spans="1:26" ht="12" customHeight="1" x14ac:dyDescent="0.35">
      <c r="A40" s="197" t="s">
        <v>190</v>
      </c>
      <c r="B40" s="198"/>
      <c r="C40" s="198"/>
      <c r="D40" s="198"/>
      <c r="E40" s="101">
        <f>IF(AND($B$4=0,_xlfn.XLOOKUP(A40,OptionsTable[Name],OptionsTable[Size0],,,)=TRUE),0,IF(_xlfn.XLOOKUP(A40,OptionsTable[Name],OptionsTable[pSlot],,,)=0,IF(G40="",-_xlfn.XLOOKUP(A40,OptionsTable[Name],OptionsTable[Slots],,,),-_xlfn.XLOOKUP(A40,OptionsTable[Name],OptionsTable[Slots],,,)*G40),-MAX(ROUNDUP(_xlfn.XLOOKUP(A40,OptionsTable[Name],OptionsTable[pSlot],,,)*$E$4,0),1)))</f>
        <v>-2</v>
      </c>
      <c r="F40" s="38">
        <f>IF(_xlfn.XLOOKUP(A40,OptionsTable[Name],OptionsTable[xS],,,)=FALSE,1,IF($B$4&gt;0,$E$4,1))</f>
        <v>1</v>
      </c>
      <c r="G40" s="58">
        <v>2</v>
      </c>
      <c r="H40" s="199" t="str">
        <f>IF(_xlfn.XLOOKUP(A40,OptionsTable[Name],OptionsTable[Notes],,,)="","",_xlfn.XLOOKUP(A40,OptionsTable[Name],OptionsTable[Notes],,,))</f>
        <v>2 kg or litres / slot</v>
      </c>
      <c r="I40" s="200"/>
      <c r="J40" s="200"/>
      <c r="K40" s="44">
        <f>_xlfn.XLOOKUP(A40,OptionsTable[Name],OptionsTable[TL],,,)</f>
        <v>6</v>
      </c>
      <c r="L40" s="120" t="str">
        <f t="shared" si="10"/>
        <v/>
      </c>
      <c r="N40" s="5" t="str">
        <f>IF(_xlfn.XLOOKUP(A40,OptionsTable[Name],OptionsTable[Trait],,,)="","",_xlfn.XLOOKUP(A40,OptionsTable[Name],OptionsTable[Trait],,,))</f>
        <v/>
      </c>
      <c r="O40" s="5" t="str">
        <f>IF(_xlfn.XLOOKUP(A40,OptionsTable[Name],OptionsTable[Skill],,,)="","",_xlfn.XLOOKUP(A40,OptionsTable[Name],OptionsTable[Skill],,,))</f>
        <v/>
      </c>
      <c r="P40" s="137">
        <f>IF(G40="",_xlfn.XLOOKUP(A40,OptionsTable[Name],OptionsTable[Cost],,,)*F40,_xlfn.XLOOKUP(A40,OptionsTable[Name],OptionsTable[Cost],,,)*F40*G40)</f>
        <v>200</v>
      </c>
      <c r="R40" s="191"/>
      <c r="S40" s="192"/>
      <c r="T40" s="192"/>
      <c r="U40" s="192"/>
      <c r="V40" s="192"/>
      <c r="W40" s="192"/>
      <c r="X40" s="192"/>
      <c r="Y40" s="192"/>
      <c r="Z40" s="193"/>
    </row>
    <row r="41" spans="1:26" ht="12" customHeight="1" x14ac:dyDescent="0.35">
      <c r="A41" s="197" t="s">
        <v>100</v>
      </c>
      <c r="B41" s="198"/>
      <c r="C41" s="198"/>
      <c r="D41" s="198"/>
      <c r="E41" s="101">
        <f>IF(AND($B$4=0,_xlfn.XLOOKUP(A41,OptionsTable[Name],OptionsTable[Size0],,,)=TRUE),0,IF(_xlfn.XLOOKUP(A41,OptionsTable[Name],OptionsTable[pSlot],,,)=0,IF(G41="",-_xlfn.XLOOKUP(A41,OptionsTable[Name],OptionsTable[Slots],,,),-_xlfn.XLOOKUP(A41,OptionsTable[Name],OptionsTable[Slots],,,)*G41),-MAX(ROUNDUP(_xlfn.XLOOKUP(A41,OptionsTable[Name],OptionsTable[pSlot],,,)*$E$4,0),1)))</f>
        <v>0</v>
      </c>
      <c r="F41" s="38">
        <f>IF(_xlfn.XLOOKUP(A41,OptionsTable[Name],OptionsTable[xS],,,)=FALSE,1,IF($B$4&gt;0,$E$4,1))</f>
        <v>128</v>
      </c>
      <c r="G41" s="58"/>
      <c r="H41" s="199" t="str">
        <f>IF(_xlfn.XLOOKUP(A41,OptionsTable[Name],OptionsTable[Notes],,,)="","",_xlfn.XLOOKUP(A41,OptionsTable[Name],OptionsTable[Notes],,,))</f>
        <v>+ Hostile env</v>
      </c>
      <c r="I41" s="200"/>
      <c r="J41" s="200"/>
      <c r="K41" s="44">
        <f>_xlfn.XLOOKUP(A41,OptionsTable[Name],OptionsTable[TL],,,)</f>
        <v>6</v>
      </c>
      <c r="L41" s="120" t="str">
        <f t="shared" si="10"/>
        <v/>
      </c>
      <c r="N41" s="5" t="str">
        <f>IF(_xlfn.XLOOKUP(A41,OptionsTable[Name],OptionsTable[Trait],,,)="","",_xlfn.XLOOKUP(A41,OptionsTable[Name],OptionsTable[Trait],,,))</f>
        <v/>
      </c>
      <c r="O41" s="5" t="str">
        <f>IF(_xlfn.XLOOKUP(A41,OptionsTable[Name],OptionsTable[Skill],,,)="","",_xlfn.XLOOKUP(A41,OptionsTable[Name],OptionsTable[Skill],,,))</f>
        <v/>
      </c>
      <c r="P41" s="137">
        <f>IF(G41="",_xlfn.XLOOKUP(A41,OptionsTable[Name],OptionsTable[Cost],,,)*F41,_xlfn.XLOOKUP(A41,OptionsTable[Name],OptionsTable[Cost],,,)*F41*G41)</f>
        <v>76800</v>
      </c>
      <c r="R41" s="191"/>
      <c r="S41" s="192"/>
      <c r="T41" s="192"/>
      <c r="U41" s="192"/>
      <c r="V41" s="192"/>
      <c r="W41" s="192"/>
      <c r="X41" s="192"/>
      <c r="Y41" s="192"/>
      <c r="Z41" s="193"/>
    </row>
    <row r="42" spans="1:26" ht="12" customHeight="1" x14ac:dyDescent="0.35">
      <c r="A42" s="197"/>
      <c r="B42" s="198"/>
      <c r="C42" s="198"/>
      <c r="D42" s="198"/>
      <c r="E42" s="101">
        <f>IF(AND($B$4=0,_xlfn.XLOOKUP(A42,OptionsTable[Name],OptionsTable[Size0],,,)=TRUE),0,IF(_xlfn.XLOOKUP(A42,OptionsTable[Name],OptionsTable[pSlot],,,)=0,IF(G42="",-_xlfn.XLOOKUP(A42,OptionsTable[Name],OptionsTable[Slots],,,),-_xlfn.XLOOKUP(A42,OptionsTable[Name],OptionsTable[Slots],,,)*G42),-MAX(ROUNDUP(_xlfn.XLOOKUP(A42,OptionsTable[Name],OptionsTable[pSlot],,,)*$E$4,0),1)))</f>
        <v>0</v>
      </c>
      <c r="F42" s="38">
        <f>IF(_xlfn.XLOOKUP(A42,OptionsTable[Name],OptionsTable[xS],,,)=FALSE,1,IF($B$4&gt;0,$E$4,1))</f>
        <v>1</v>
      </c>
      <c r="G42" s="58"/>
      <c r="H42" s="199" t="str">
        <f>IF(_xlfn.XLOOKUP(A42,OptionsTable[Name],OptionsTable[Notes],,,)="","",_xlfn.XLOOKUP(A42,OptionsTable[Name],OptionsTable[Notes],,,))</f>
        <v/>
      </c>
      <c r="I42" s="200"/>
      <c r="J42" s="200"/>
      <c r="K42" s="44">
        <f>_xlfn.XLOOKUP(A42,OptionsTable[Name],OptionsTable[TL],,,)</f>
        <v>0</v>
      </c>
      <c r="L42" s="120" t="str">
        <f t="shared" si="10"/>
        <v/>
      </c>
      <c r="N42" s="5" t="str">
        <f>IF(_xlfn.XLOOKUP(A42,OptionsTable[Name],OptionsTable[Trait],,,)="","",_xlfn.XLOOKUP(A42,OptionsTable[Name],OptionsTable[Trait],,,))</f>
        <v/>
      </c>
      <c r="O42" s="5" t="str">
        <f>IF(_xlfn.XLOOKUP(A42,OptionsTable[Name],OptionsTable[Skill],,,)="","",_xlfn.XLOOKUP(A42,OptionsTable[Name],OptionsTable[Skill],,,))</f>
        <v/>
      </c>
      <c r="P42" s="137">
        <f>IF(G42="",_xlfn.XLOOKUP(A42,OptionsTable[Name],OptionsTable[Cost],,,)*F42,_xlfn.XLOOKUP(A42,OptionsTable[Name],OptionsTable[Cost],,,)*F42*G42)</f>
        <v>0</v>
      </c>
      <c r="R42" s="191"/>
      <c r="S42" s="192"/>
      <c r="T42" s="192"/>
      <c r="U42" s="192"/>
      <c r="V42" s="192"/>
      <c r="W42" s="192"/>
      <c r="X42" s="192"/>
      <c r="Y42" s="192"/>
      <c r="Z42" s="193"/>
    </row>
    <row r="43" spans="1:26" ht="12" customHeight="1" x14ac:dyDescent="0.35">
      <c r="A43" s="197"/>
      <c r="B43" s="198"/>
      <c r="C43" s="198"/>
      <c r="D43" s="198"/>
      <c r="E43" s="101">
        <f>IF(AND($B$4=0,_xlfn.XLOOKUP(A43,OptionsTable[Name],OptionsTable[Size0],,,)=TRUE),0,IF(_xlfn.XLOOKUP(A43,OptionsTable[Name],OptionsTable[pSlot],,,)=0,IF(G43="",-_xlfn.XLOOKUP(A43,OptionsTable[Name],OptionsTable[Slots],,,),-_xlfn.XLOOKUP(A43,OptionsTable[Name],OptionsTable[Slots],,,)*G43),-MAX(ROUNDUP(_xlfn.XLOOKUP(A43,OptionsTable[Name],OptionsTable[pSlot],,,)*$E$4,0),1)))</f>
        <v>0</v>
      </c>
      <c r="F43" s="38">
        <f>IF(_xlfn.XLOOKUP(A43,OptionsTable[Name],OptionsTable[xS],,,)=FALSE,1,IF($B$4&gt;0,$E$4,1))</f>
        <v>1</v>
      </c>
      <c r="G43" s="58"/>
      <c r="H43" s="199" t="str">
        <f>IF(_xlfn.XLOOKUP(A43,OptionsTable[Name],OptionsTable[Notes],,,)="","",_xlfn.XLOOKUP(A43,OptionsTable[Name],OptionsTable[Notes],,,))</f>
        <v/>
      </c>
      <c r="I43" s="200"/>
      <c r="J43" s="200"/>
      <c r="K43" s="44">
        <f>_xlfn.XLOOKUP(A43,OptionsTable[Name],OptionsTable[TL],,,)</f>
        <v>0</v>
      </c>
      <c r="L43" s="120" t="str">
        <f t="shared" si="10"/>
        <v/>
      </c>
      <c r="N43" s="5" t="str">
        <f>IF(_xlfn.XLOOKUP(A43,OptionsTable[Name],OptionsTable[Trait],,,)="","",_xlfn.XLOOKUP(A43,OptionsTable[Name],OptionsTable[Trait],,,))</f>
        <v/>
      </c>
      <c r="O43" s="5" t="str">
        <f>IF(_xlfn.XLOOKUP(A43,OptionsTable[Name],OptionsTable[Skill],,,)="","",_xlfn.XLOOKUP(A43,OptionsTable[Name],OptionsTable[Skill],,,))</f>
        <v/>
      </c>
      <c r="P43" s="137">
        <f>IF(G43="",_xlfn.XLOOKUP(A43,OptionsTable[Name],OptionsTable[Cost],,,)*F43,_xlfn.XLOOKUP(A43,OptionsTable[Name],OptionsTable[Cost],,,)*F43*G43)</f>
        <v>0</v>
      </c>
      <c r="R43" s="191"/>
      <c r="S43" s="192"/>
      <c r="T43" s="192"/>
      <c r="U43" s="192"/>
      <c r="V43" s="192"/>
      <c r="W43" s="192"/>
      <c r="X43" s="192"/>
      <c r="Y43" s="192"/>
      <c r="Z43" s="193"/>
    </row>
    <row r="44" spans="1:26" ht="12" customHeight="1" x14ac:dyDescent="0.35">
      <c r="A44" s="197"/>
      <c r="B44" s="198"/>
      <c r="C44" s="198"/>
      <c r="D44" s="198"/>
      <c r="E44" s="101">
        <f>IF(AND($B$4=0,_xlfn.XLOOKUP(A44,OptionsTable[Name],OptionsTable[Size0],,,)=TRUE),0,IF(_xlfn.XLOOKUP(A44,OptionsTable[Name],OptionsTable[pSlot],,,)=0,IF(G44="",-_xlfn.XLOOKUP(A44,OptionsTable[Name],OptionsTable[Slots],,,),-_xlfn.XLOOKUP(A44,OptionsTable[Name],OptionsTable[Slots],,,)*G44),-MAX(ROUNDUP(_xlfn.XLOOKUP(A44,OptionsTable[Name],OptionsTable[pSlot],,,)*$E$4,0),1)))</f>
        <v>0</v>
      </c>
      <c r="F44" s="38">
        <f>IF(_xlfn.XLOOKUP(A44,OptionsTable[Name],OptionsTable[xS],,,)=FALSE,1,IF($B$4&gt;0,$E$4,1))</f>
        <v>1</v>
      </c>
      <c r="G44" s="58"/>
      <c r="H44" s="199" t="str">
        <f>IF(_xlfn.XLOOKUP(A44,OptionsTable[Name],OptionsTable[Notes],,,)="","",_xlfn.XLOOKUP(A44,OptionsTable[Name],OptionsTable[Notes],,,))</f>
        <v/>
      </c>
      <c r="I44" s="200"/>
      <c r="J44" s="200"/>
      <c r="K44" s="44">
        <f>_xlfn.XLOOKUP(A44,OptionsTable[Name],OptionsTable[TL],,,)</f>
        <v>0</v>
      </c>
      <c r="L44" s="120" t="str">
        <f t="shared" si="10"/>
        <v/>
      </c>
      <c r="N44" s="5" t="str">
        <f>IF(_xlfn.XLOOKUP(A44,OptionsTable[Name],OptionsTable[Trait],,,)="","",_xlfn.XLOOKUP(A44,OptionsTable[Name],OptionsTable[Trait],,,))</f>
        <v/>
      </c>
      <c r="O44" s="5" t="str">
        <f>IF(_xlfn.XLOOKUP(A44,OptionsTable[Name],OptionsTable[Skill],,,)="","",_xlfn.XLOOKUP(A44,OptionsTable[Name],OptionsTable[Skill],,,))</f>
        <v/>
      </c>
      <c r="P44" s="137">
        <f>IF(G44="",_xlfn.XLOOKUP(A44,OptionsTable[Name],OptionsTable[Cost],,,)*F44,_xlfn.XLOOKUP(A44,OptionsTable[Name],OptionsTable[Cost],,,)*F44*G44)</f>
        <v>0</v>
      </c>
      <c r="R44" s="191"/>
      <c r="S44" s="192"/>
      <c r="T44" s="192"/>
      <c r="U44" s="192"/>
      <c r="V44" s="192"/>
      <c r="W44" s="192"/>
      <c r="X44" s="192"/>
      <c r="Y44" s="192"/>
      <c r="Z44" s="193"/>
    </row>
    <row r="45" spans="1:26" ht="12" customHeight="1" x14ac:dyDescent="0.35">
      <c r="A45" s="197"/>
      <c r="B45" s="198"/>
      <c r="C45" s="198"/>
      <c r="D45" s="198"/>
      <c r="E45" s="101">
        <f>IF(AND($B$4=0,_xlfn.XLOOKUP(A45,OptionsTable[Name],OptionsTable[Size0],,,)=TRUE),0,IF(_xlfn.XLOOKUP(A45,OptionsTable[Name],OptionsTable[pSlot],,,)=0,IF(G45="",-_xlfn.XLOOKUP(A45,OptionsTable[Name],OptionsTable[Slots],,,),-_xlfn.XLOOKUP(A45,OptionsTable[Name],OptionsTable[Slots],,,)*G45),-MAX(ROUNDUP(_xlfn.XLOOKUP(A45,OptionsTable[Name],OptionsTable[pSlot],,,)*$E$4,0),1)))</f>
        <v>0</v>
      </c>
      <c r="F45" s="38">
        <f>IF(_xlfn.XLOOKUP(A45,OptionsTable[Name],OptionsTable[xS],,,)=FALSE,1,IF($B$4&gt;0,$E$4,1))</f>
        <v>1</v>
      </c>
      <c r="G45" s="58"/>
      <c r="H45" s="199" t="str">
        <f>IF(_xlfn.XLOOKUP(A45,OptionsTable[Name],OptionsTable[Notes],,,)="","",_xlfn.XLOOKUP(A45,OptionsTable[Name],OptionsTable[Notes],,,))</f>
        <v/>
      </c>
      <c r="I45" s="200"/>
      <c r="J45" s="200"/>
      <c r="K45" s="44">
        <f>_xlfn.XLOOKUP(A45,OptionsTable[Name],OptionsTable[TL],,,)</f>
        <v>0</v>
      </c>
      <c r="L45" s="120" t="str">
        <f t="shared" si="10"/>
        <v/>
      </c>
      <c r="N45" s="5" t="str">
        <f>IF(_xlfn.XLOOKUP(A45,OptionsTable[Name],OptionsTable[Trait],,,)="","",_xlfn.XLOOKUP(A45,OptionsTable[Name],OptionsTable[Trait],,,))</f>
        <v/>
      </c>
      <c r="O45" s="5" t="str">
        <f>IF(_xlfn.XLOOKUP(A45,OptionsTable[Name],OptionsTable[Skill],,,)="","",_xlfn.XLOOKUP(A45,OptionsTable[Name],OptionsTable[Skill],,,))</f>
        <v/>
      </c>
      <c r="P45" s="137">
        <f>IF(G45="",_xlfn.XLOOKUP(A45,OptionsTable[Name],OptionsTable[Cost],,,)*F45,_xlfn.XLOOKUP(A45,OptionsTable[Name],OptionsTable[Cost],,,)*F45*G45)</f>
        <v>0</v>
      </c>
      <c r="R45" s="191"/>
      <c r="S45" s="192"/>
      <c r="T45" s="192"/>
      <c r="U45" s="192"/>
      <c r="V45" s="192"/>
      <c r="W45" s="192"/>
      <c r="X45" s="192"/>
      <c r="Y45" s="192"/>
      <c r="Z45" s="193"/>
    </row>
    <row r="46" spans="1:26" ht="12" customHeight="1" x14ac:dyDescent="0.35">
      <c r="A46" s="197"/>
      <c r="B46" s="198"/>
      <c r="C46" s="198"/>
      <c r="D46" s="198"/>
      <c r="E46" s="101">
        <f>IF(AND($B$4=0,_xlfn.XLOOKUP(A46,OptionsTable[Name],OptionsTable[Size0],,,)=TRUE),0,IF(_xlfn.XLOOKUP(A46,OptionsTable[Name],OptionsTable[pSlot],,,)=0,IF(G46="",-_xlfn.XLOOKUP(A46,OptionsTable[Name],OptionsTable[Slots],,,),-_xlfn.XLOOKUP(A46,OptionsTable[Name],OptionsTable[Slots],,,)*G46),-MAX(ROUNDUP(_xlfn.XLOOKUP(A46,OptionsTable[Name],OptionsTable[pSlot],,,)*$E$4,0),1)))</f>
        <v>0</v>
      </c>
      <c r="F46" s="38">
        <f>IF(_xlfn.XLOOKUP(A46,OptionsTable[Name],OptionsTable[xS],,,)=FALSE,1,IF($B$4&gt;0,$E$4,1))</f>
        <v>1</v>
      </c>
      <c r="G46" s="58"/>
      <c r="H46" s="199" t="str">
        <f>IF(_xlfn.XLOOKUP(A46,OptionsTable[Name],OptionsTable[Notes],,,)="","",_xlfn.XLOOKUP(A46,OptionsTable[Name],OptionsTable[Notes],,,))</f>
        <v/>
      </c>
      <c r="I46" s="200"/>
      <c r="J46" s="200"/>
      <c r="K46" s="44">
        <f>_xlfn.XLOOKUP(A46,OptionsTable[Name],OptionsTable[TL],,,)</f>
        <v>0</v>
      </c>
      <c r="L46" s="120" t="str">
        <f t="shared" si="10"/>
        <v/>
      </c>
      <c r="N46" s="5" t="str">
        <f>IF(_xlfn.XLOOKUP(A46,OptionsTable[Name],OptionsTable[Trait],,,)="","",_xlfn.XLOOKUP(A46,OptionsTable[Name],OptionsTable[Trait],,,))</f>
        <v/>
      </c>
      <c r="O46" s="5" t="str">
        <f>IF(_xlfn.XLOOKUP(A46,OptionsTable[Name],OptionsTable[Skill],,,)="","",_xlfn.XLOOKUP(A46,OptionsTable[Name],OptionsTable[Skill],,,))</f>
        <v/>
      </c>
      <c r="P46" s="137">
        <f>IF(G46="",_xlfn.XLOOKUP(A46,OptionsTable[Name],OptionsTable[Cost],,,)*F46,_xlfn.XLOOKUP(A46,OptionsTable[Name],OptionsTable[Cost],,,)*F46*G46)</f>
        <v>0</v>
      </c>
      <c r="R46" s="191"/>
      <c r="S46" s="192"/>
      <c r="T46" s="192"/>
      <c r="U46" s="192"/>
      <c r="V46" s="192"/>
      <c r="W46" s="192"/>
      <c r="X46" s="192"/>
      <c r="Y46" s="192"/>
      <c r="Z46" s="193"/>
    </row>
    <row r="47" spans="1:26" ht="12" customHeight="1" x14ac:dyDescent="0.35">
      <c r="A47" s="197"/>
      <c r="B47" s="198"/>
      <c r="C47" s="198"/>
      <c r="D47" s="198"/>
      <c r="E47" s="101">
        <f>IF(AND($B$4=0,_xlfn.XLOOKUP(A47,OptionsTable[Name],OptionsTable[Size0],,,)=TRUE),0,IF(_xlfn.XLOOKUP(A47,OptionsTable[Name],OptionsTable[pSlot],,,)=0,IF(G47="",-_xlfn.XLOOKUP(A47,OptionsTable[Name],OptionsTable[Slots],,,),-_xlfn.XLOOKUP(A47,OptionsTable[Name],OptionsTable[Slots],,,)*G47),-MAX(ROUNDUP(_xlfn.XLOOKUP(A47,OptionsTable[Name],OptionsTable[pSlot],,,)*$E$4,0),1)))</f>
        <v>0</v>
      </c>
      <c r="F47" s="38">
        <f>IF(_xlfn.XLOOKUP(A47,OptionsTable[Name],OptionsTable[xS],,,)=FALSE,1,IF($B$4&gt;0,$E$4,1))</f>
        <v>1</v>
      </c>
      <c r="G47" s="58"/>
      <c r="H47" s="199" t="str">
        <f>IF(_xlfn.XLOOKUP(A47,OptionsTable[Name],OptionsTable[Notes],,,)="","",_xlfn.XLOOKUP(A47,OptionsTable[Name],OptionsTable[Notes],,,))</f>
        <v/>
      </c>
      <c r="I47" s="200"/>
      <c r="J47" s="200"/>
      <c r="K47" s="44">
        <f>_xlfn.XLOOKUP(A47,OptionsTable[Name],OptionsTable[TL],,,)</f>
        <v>0</v>
      </c>
      <c r="L47" s="120" t="str">
        <f t="shared" si="10"/>
        <v/>
      </c>
      <c r="N47" s="5" t="str">
        <f>IF(_xlfn.XLOOKUP(A47,OptionsTable[Name],OptionsTable[Trait],,,)="","",_xlfn.XLOOKUP(A47,OptionsTable[Name],OptionsTable[Trait],,,))</f>
        <v/>
      </c>
      <c r="O47" s="5" t="str">
        <f>IF(_xlfn.XLOOKUP(A47,OptionsTable[Name],OptionsTable[Skill],,,)="","",_xlfn.XLOOKUP(A47,OptionsTable[Name],OptionsTable[Skill],,,))</f>
        <v/>
      </c>
      <c r="P47" s="137">
        <f>IF(G47="",_xlfn.XLOOKUP(A47,OptionsTable[Name],OptionsTable[Cost],,,)*F47,_xlfn.XLOOKUP(A47,OptionsTable[Name],OptionsTable[Cost],,,)*F47*G47)</f>
        <v>0</v>
      </c>
      <c r="R47" s="191"/>
      <c r="S47" s="192"/>
      <c r="T47" s="192"/>
      <c r="U47" s="192"/>
      <c r="V47" s="192"/>
      <c r="W47" s="192"/>
      <c r="X47" s="192"/>
      <c r="Y47" s="192"/>
      <c r="Z47" s="193"/>
    </row>
    <row r="48" spans="1:26" ht="12" customHeight="1" x14ac:dyDescent="0.35">
      <c r="A48" s="197"/>
      <c r="B48" s="198"/>
      <c r="C48" s="198"/>
      <c r="D48" s="198"/>
      <c r="E48" s="101">
        <f>IF(AND($B$4=0,_xlfn.XLOOKUP(A48,OptionsTable[Name],OptionsTable[Size0],,,)=TRUE),0,IF(_xlfn.XLOOKUP(A48,OptionsTable[Name],OptionsTable[pSlot],,,)=0,IF(G48="",-_xlfn.XLOOKUP(A48,OptionsTable[Name],OptionsTable[Slots],,,),-_xlfn.XLOOKUP(A48,OptionsTable[Name],OptionsTable[Slots],,,)*G48),-MAX(ROUNDUP(_xlfn.XLOOKUP(A48,OptionsTable[Name],OptionsTable[pSlot],,,)*$E$4,0),1)))</f>
        <v>0</v>
      </c>
      <c r="F48" s="38">
        <f>IF(_xlfn.XLOOKUP(A48,OptionsTable[Name],OptionsTable[xS],,,)=FALSE,1,IF($B$4&gt;0,$E$4,1))</f>
        <v>1</v>
      </c>
      <c r="G48" s="58"/>
      <c r="H48" s="199" t="str">
        <f>IF(_xlfn.XLOOKUP(A48,OptionsTable[Name],OptionsTable[Notes],,,)="","",_xlfn.XLOOKUP(A48,OptionsTable[Name],OptionsTable[Notes],,,))</f>
        <v/>
      </c>
      <c r="I48" s="200"/>
      <c r="J48" s="200"/>
      <c r="K48" s="44">
        <f>_xlfn.XLOOKUP(A48,OptionsTable[Name],OptionsTable[TL],,,)</f>
        <v>0</v>
      </c>
      <c r="L48" s="120" t="str">
        <f t="shared" si="10"/>
        <v/>
      </c>
      <c r="N48" s="5" t="str">
        <f>IF(_xlfn.XLOOKUP(A48,OptionsTable[Name],OptionsTable[Trait],,,)="","",_xlfn.XLOOKUP(A48,OptionsTable[Name],OptionsTable[Trait],,,))</f>
        <v/>
      </c>
      <c r="O48" s="5" t="str">
        <f>IF(_xlfn.XLOOKUP(A48,OptionsTable[Name],OptionsTable[Skill],,,)="","",_xlfn.XLOOKUP(A48,OptionsTable[Name],OptionsTable[Skill],,,))</f>
        <v/>
      </c>
      <c r="P48" s="137">
        <f>IF(G48="",_xlfn.XLOOKUP(A48,OptionsTable[Name],OptionsTable[Cost],,,)*F48,_xlfn.XLOOKUP(A48,OptionsTable[Name],OptionsTable[Cost],,,)*F48*G48)</f>
        <v>0</v>
      </c>
      <c r="R48" s="191"/>
      <c r="S48" s="192"/>
      <c r="T48" s="192"/>
      <c r="U48" s="192"/>
      <c r="V48" s="192"/>
      <c r="W48" s="192"/>
      <c r="X48" s="192"/>
      <c r="Y48" s="192"/>
      <c r="Z48" s="193"/>
    </row>
    <row r="49" spans="1:26" ht="12" customHeight="1" x14ac:dyDescent="0.35">
      <c r="A49" s="197"/>
      <c r="B49" s="198"/>
      <c r="C49" s="198"/>
      <c r="D49" s="198"/>
      <c r="E49" s="101">
        <f>IF(AND($B$4=0,_xlfn.XLOOKUP(A49,OptionsTable[Name],OptionsTable[Size0],,,)=TRUE),0,IF(_xlfn.XLOOKUP(A49,OptionsTable[Name],OptionsTable[pSlot],,,)=0,IF(G49="",-_xlfn.XLOOKUP(A49,OptionsTable[Name],OptionsTable[Slots],,,),-_xlfn.XLOOKUP(A49,OptionsTable[Name],OptionsTable[Slots],,,)*G49),-MAX(ROUNDUP(_xlfn.XLOOKUP(A49,OptionsTable[Name],OptionsTable[pSlot],,,)*$E$4,0),1)))</f>
        <v>0</v>
      </c>
      <c r="F49" s="38">
        <f>IF(_xlfn.XLOOKUP(A49,OptionsTable[Name],OptionsTable[xS],,,)=FALSE,1,IF($B$4&gt;0,$E$4,1))</f>
        <v>1</v>
      </c>
      <c r="G49" s="58"/>
      <c r="H49" s="199" t="str">
        <f>IF(_xlfn.XLOOKUP(A49,OptionsTable[Name],OptionsTable[Notes],,,)="","",_xlfn.XLOOKUP(A49,OptionsTable[Name],OptionsTable[Notes],,,))</f>
        <v/>
      </c>
      <c r="I49" s="200"/>
      <c r="J49" s="200"/>
      <c r="K49" s="44">
        <f>_xlfn.XLOOKUP(A49,OptionsTable[Name],OptionsTable[TL],,,)</f>
        <v>0</v>
      </c>
      <c r="L49" s="120" t="str">
        <f t="shared" si="10"/>
        <v/>
      </c>
      <c r="N49" s="5" t="str">
        <f>IF(_xlfn.XLOOKUP(A49,OptionsTable[Name],OptionsTable[Trait],,,)="","",_xlfn.XLOOKUP(A49,OptionsTable[Name],OptionsTable[Trait],,,))</f>
        <v/>
      </c>
      <c r="O49" s="5" t="str">
        <f>IF(_xlfn.XLOOKUP(A49,OptionsTable[Name],OptionsTable[Skill],,,)="","",_xlfn.XLOOKUP(A49,OptionsTable[Name],OptionsTable[Skill],,,))</f>
        <v/>
      </c>
      <c r="P49" s="137">
        <f>IF(G49="",_xlfn.XLOOKUP(A49,OptionsTable[Name],OptionsTable[Cost],,,)*F49,_xlfn.XLOOKUP(A49,OptionsTable[Name],OptionsTable[Cost],,,)*F49*G49)</f>
        <v>0</v>
      </c>
      <c r="R49" s="191"/>
      <c r="S49" s="192"/>
      <c r="T49" s="192"/>
      <c r="U49" s="192"/>
      <c r="V49" s="192"/>
      <c r="W49" s="192"/>
      <c r="X49" s="192"/>
      <c r="Y49" s="192"/>
      <c r="Z49" s="193"/>
    </row>
    <row r="50" spans="1:26" ht="12" customHeight="1" x14ac:dyDescent="0.35">
      <c r="A50" s="197"/>
      <c r="B50" s="198"/>
      <c r="C50" s="198"/>
      <c r="D50" s="198"/>
      <c r="E50" s="101">
        <f>IF(AND($B$4=0,_xlfn.XLOOKUP(A50,OptionsTable[Name],OptionsTable[Size0],,,)=TRUE),0,IF(_xlfn.XLOOKUP(A50,OptionsTable[Name],OptionsTable[pSlot],,,)=0,IF(G50="",-_xlfn.XLOOKUP(A50,OptionsTable[Name],OptionsTable[Slots],,,),-_xlfn.XLOOKUP(A50,OptionsTable[Name],OptionsTable[Slots],,,)*G50),-MAX(ROUNDUP(_xlfn.XLOOKUP(A50,OptionsTable[Name],OptionsTable[pSlot],,,)*$E$4,0),1)))</f>
        <v>0</v>
      </c>
      <c r="F50" s="38">
        <f>IF(_xlfn.XLOOKUP(A50,OptionsTable[Name],OptionsTable[xS],,,)=FALSE,1,IF($B$4&gt;0,$E$4,1))</f>
        <v>1</v>
      </c>
      <c r="G50" s="58"/>
      <c r="H50" s="199" t="str">
        <f>IF(_xlfn.XLOOKUP(A50,OptionsTable[Name],OptionsTable[Notes],,,)="","",_xlfn.XLOOKUP(A50,OptionsTable[Name],OptionsTable[Notes],,,))</f>
        <v/>
      </c>
      <c r="I50" s="200"/>
      <c r="J50" s="200"/>
      <c r="K50" s="44">
        <f>_xlfn.XLOOKUP(A50,OptionsTable[Name],OptionsTable[TL],,,)</f>
        <v>0</v>
      </c>
      <c r="L50" s="120" t="str">
        <f t="shared" si="10"/>
        <v/>
      </c>
      <c r="N50" s="5" t="str">
        <f>IF(_xlfn.XLOOKUP(A50,OptionsTable[Name],OptionsTable[Trait],,,)="","",_xlfn.XLOOKUP(A50,OptionsTable[Name],OptionsTable[Trait],,,))</f>
        <v/>
      </c>
      <c r="O50" s="5" t="str">
        <f>IF(_xlfn.XLOOKUP(A50,OptionsTable[Name],OptionsTable[Skill],,,)="","",_xlfn.XLOOKUP(A50,OptionsTable[Name],OptionsTable[Skill],,,))</f>
        <v/>
      </c>
      <c r="P50" s="137">
        <f>IF(G50="",_xlfn.XLOOKUP(A50,OptionsTable[Name],OptionsTable[Cost],,,)*F50,_xlfn.XLOOKUP(A50,OptionsTable[Name],OptionsTable[Cost],,,)*F50*G50)</f>
        <v>0</v>
      </c>
      <c r="R50" s="191"/>
      <c r="S50" s="192"/>
      <c r="T50" s="192"/>
      <c r="U50" s="192"/>
      <c r="V50" s="192"/>
      <c r="W50" s="192"/>
      <c r="X50" s="192"/>
      <c r="Y50" s="192"/>
      <c r="Z50" s="193"/>
    </row>
    <row r="51" spans="1:26" ht="12" customHeight="1" x14ac:dyDescent="0.35">
      <c r="A51" s="197"/>
      <c r="B51" s="198"/>
      <c r="C51" s="198"/>
      <c r="D51" s="198"/>
      <c r="E51" s="101">
        <f>IF(AND($B$4=0,_xlfn.XLOOKUP(A51,OptionsTable[Name],OptionsTable[Size0],,,)=TRUE),0,IF(_xlfn.XLOOKUP(A51,OptionsTable[Name],OptionsTable[pSlot],,,)=0,IF(G51="",-_xlfn.XLOOKUP(A51,OptionsTable[Name],OptionsTable[Slots],,,),-_xlfn.XLOOKUP(A51,OptionsTable[Name],OptionsTable[Slots],,,)*G51),-MAX(ROUNDUP(_xlfn.XLOOKUP(A51,OptionsTable[Name],OptionsTable[pSlot],,,)*$E$4,0),1)))</f>
        <v>0</v>
      </c>
      <c r="F51" s="38">
        <f>IF(_xlfn.XLOOKUP(A51,OptionsTable[Name],OptionsTable[xS],,,)=FALSE,1,IF($B$4&gt;0,$E$4,1))</f>
        <v>1</v>
      </c>
      <c r="G51" s="58"/>
      <c r="H51" s="199" t="str">
        <f>IF(_xlfn.XLOOKUP(A51,OptionsTable[Name],OptionsTable[Notes],,,)="","",_xlfn.XLOOKUP(A51,OptionsTable[Name],OptionsTable[Notes],,,))</f>
        <v/>
      </c>
      <c r="I51" s="200"/>
      <c r="J51" s="200"/>
      <c r="K51" s="44">
        <f>_xlfn.XLOOKUP(A51,OptionsTable[Name],OptionsTable[TL],,,)</f>
        <v>0</v>
      </c>
      <c r="L51" s="120" t="str">
        <f t="shared" si="10"/>
        <v/>
      </c>
      <c r="N51" s="5" t="str">
        <f>IF(_xlfn.XLOOKUP(A51,OptionsTable[Name],OptionsTable[Trait],,,)="","",_xlfn.XLOOKUP(A51,OptionsTable[Name],OptionsTable[Trait],,,))</f>
        <v/>
      </c>
      <c r="O51" s="5" t="str">
        <f>IF(_xlfn.XLOOKUP(A51,OptionsTable[Name],OptionsTable[Skill],,,)="","",_xlfn.XLOOKUP(A51,OptionsTable[Name],OptionsTable[Skill],,,))</f>
        <v/>
      </c>
      <c r="P51" s="137">
        <f>IF(G51="",_xlfn.XLOOKUP(A51,OptionsTable[Name],OptionsTable[Cost],,,)*F51,_xlfn.XLOOKUP(A51,OptionsTable[Name],OptionsTable[Cost],,,)*F51*G51)</f>
        <v>0</v>
      </c>
      <c r="R51" s="191"/>
      <c r="S51" s="192"/>
      <c r="T51" s="192"/>
      <c r="U51" s="192"/>
      <c r="V51" s="192"/>
      <c r="W51" s="192"/>
      <c r="X51" s="192"/>
      <c r="Y51" s="192"/>
      <c r="Z51" s="193"/>
    </row>
    <row r="52" spans="1:26" ht="12" customHeight="1" x14ac:dyDescent="0.35">
      <c r="A52" s="197"/>
      <c r="B52" s="198"/>
      <c r="C52" s="198"/>
      <c r="D52" s="198"/>
      <c r="E52" s="101">
        <f>IF(AND($B$4=0,_xlfn.XLOOKUP(A52,OptionsTable[Name],OptionsTable[Size0],,,)=TRUE),0,IF(_xlfn.XLOOKUP(A52,OptionsTable[Name],OptionsTable[pSlot],,,)=0,IF(G52="",-_xlfn.XLOOKUP(A52,OptionsTable[Name],OptionsTable[Slots],,,),-_xlfn.XLOOKUP(A52,OptionsTable[Name],OptionsTable[Slots],,,)*G52),-MAX(ROUNDUP(_xlfn.XLOOKUP(A52,OptionsTable[Name],OptionsTable[pSlot],,,)*$E$4,0),1)))</f>
        <v>0</v>
      </c>
      <c r="F52" s="38">
        <f>IF(_xlfn.XLOOKUP(A52,OptionsTable[Name],OptionsTable[xS],,,)=FALSE,1,IF($B$4&gt;0,$E$4,1))</f>
        <v>1</v>
      </c>
      <c r="G52" s="58"/>
      <c r="H52" s="199" t="str">
        <f>IF(_xlfn.XLOOKUP(A52,OptionsTable[Name],OptionsTable[Notes],,,)="","",_xlfn.XLOOKUP(A52,OptionsTable[Name],OptionsTable[Notes],,,))</f>
        <v/>
      </c>
      <c r="I52" s="200"/>
      <c r="J52" s="200"/>
      <c r="K52" s="44">
        <f>_xlfn.XLOOKUP(A52,OptionsTable[Name],OptionsTable[TL],,,)</f>
        <v>0</v>
      </c>
      <c r="L52" s="120" t="str">
        <f t="shared" si="10"/>
        <v/>
      </c>
      <c r="N52" s="5" t="str">
        <f>IF(_xlfn.XLOOKUP(A52,OptionsTable[Name],OptionsTable[Trait],,,)="","",_xlfn.XLOOKUP(A52,OptionsTable[Name],OptionsTable[Trait],,,))</f>
        <v/>
      </c>
      <c r="O52" s="5" t="str">
        <f>IF(_xlfn.XLOOKUP(A52,OptionsTable[Name],OptionsTable[Skill],,,)="","",_xlfn.XLOOKUP(A52,OptionsTable[Name],OptionsTable[Skill],,,))</f>
        <v/>
      </c>
      <c r="P52" s="137">
        <f>IF(G52="",_xlfn.XLOOKUP(A52,OptionsTable[Name],OptionsTable[Cost],,,)*F52,_xlfn.XLOOKUP(A52,OptionsTable[Name],OptionsTable[Cost],,,)*F52*G52)</f>
        <v>0</v>
      </c>
      <c r="R52" s="191"/>
      <c r="S52" s="192"/>
      <c r="T52" s="192"/>
      <c r="U52" s="192"/>
      <c r="V52" s="192"/>
      <c r="W52" s="192"/>
      <c r="X52" s="192"/>
      <c r="Y52" s="192"/>
      <c r="Z52" s="193"/>
    </row>
    <row r="53" spans="1:26" ht="12" customHeight="1" x14ac:dyDescent="0.35">
      <c r="A53" s="197"/>
      <c r="B53" s="198"/>
      <c r="C53" s="198"/>
      <c r="D53" s="198"/>
      <c r="E53" s="101">
        <f>IF(AND($B$4=0,_xlfn.XLOOKUP(A53,OptionsTable[Name],OptionsTable[Size0],,,)=TRUE),0,IF(_xlfn.XLOOKUP(A53,OptionsTable[Name],OptionsTable[pSlot],,,)=0,IF(G53="",-_xlfn.XLOOKUP(A53,OptionsTable[Name],OptionsTable[Slots],,,),-_xlfn.XLOOKUP(A53,OptionsTable[Name],OptionsTable[Slots],,,)*G53),-MAX(ROUNDUP(_xlfn.XLOOKUP(A53,OptionsTable[Name],OptionsTable[pSlot],,,)*$E$4,0),1)))</f>
        <v>0</v>
      </c>
      <c r="F53" s="38">
        <f>IF(_xlfn.XLOOKUP(A53,OptionsTable[Name],OptionsTable[xS],,,)=FALSE,1,IF($B$4&gt;0,$E$4,1))</f>
        <v>1</v>
      </c>
      <c r="G53" s="58"/>
      <c r="H53" s="199" t="str">
        <f>IF(_xlfn.XLOOKUP(A53,OptionsTable[Name],OptionsTable[Notes],,,)="","",_xlfn.XLOOKUP(A53,OptionsTable[Name],OptionsTable[Notes],,,))</f>
        <v/>
      </c>
      <c r="I53" s="200"/>
      <c r="J53" s="200"/>
      <c r="K53" s="44">
        <f>_xlfn.XLOOKUP(A53,OptionsTable[Name],OptionsTable[TL],,,)</f>
        <v>0</v>
      </c>
      <c r="L53" s="120" t="str">
        <f t="shared" si="10"/>
        <v/>
      </c>
      <c r="N53" s="5" t="str">
        <f>IF(_xlfn.XLOOKUP(A53,OptionsTable[Name],OptionsTable[Trait],,,)="","",_xlfn.XLOOKUP(A53,OptionsTable[Name],OptionsTable[Trait],,,))</f>
        <v/>
      </c>
      <c r="O53" s="5" t="str">
        <f>IF(_xlfn.XLOOKUP(A53,OptionsTable[Name],OptionsTable[Skill],,,)="","",_xlfn.XLOOKUP(A53,OptionsTable[Name],OptionsTable[Skill],,,))</f>
        <v/>
      </c>
      <c r="P53" s="137">
        <f>IF(G53="",_xlfn.XLOOKUP(A53,OptionsTable[Name],OptionsTable[Cost],,,)*F53,_xlfn.XLOOKUP(A53,OptionsTable[Name],OptionsTable[Cost],,,)*F53*G53)</f>
        <v>0</v>
      </c>
      <c r="R53" s="191"/>
      <c r="S53" s="192"/>
      <c r="T53" s="192"/>
      <c r="U53" s="192"/>
      <c r="V53" s="192"/>
      <c r="W53" s="192"/>
      <c r="X53" s="192"/>
      <c r="Y53" s="192"/>
      <c r="Z53" s="193"/>
    </row>
    <row r="54" spans="1:26" ht="12" customHeight="1" x14ac:dyDescent="0.35">
      <c r="A54" s="197"/>
      <c r="B54" s="198"/>
      <c r="C54" s="198"/>
      <c r="D54" s="198"/>
      <c r="E54" s="101">
        <f>IF(AND($B$4=0,_xlfn.XLOOKUP(A54,OptionsTable[Name],OptionsTable[Size0],,,)=TRUE),0,IF(_xlfn.XLOOKUP(A54,OptionsTable[Name],OptionsTable[pSlot],,,)=0,IF(G54="",-_xlfn.XLOOKUP(A54,OptionsTable[Name],OptionsTable[Slots],,,),-_xlfn.XLOOKUP(A54,OptionsTable[Name],OptionsTable[Slots],,,)*G54),-MAX(ROUNDUP(_xlfn.XLOOKUP(A54,OptionsTable[Name],OptionsTable[pSlot],,,)*$E$4,0),1)))</f>
        <v>0</v>
      </c>
      <c r="F54" s="38">
        <f>IF(_xlfn.XLOOKUP(A54,OptionsTable[Name],OptionsTable[xS],,,)=FALSE,1,IF($B$4&gt;0,$E$4,1))</f>
        <v>1</v>
      </c>
      <c r="G54" s="58"/>
      <c r="H54" s="199" t="str">
        <f>IF(_xlfn.XLOOKUP(A54,OptionsTable[Name],OptionsTable[Notes],,,)="","",_xlfn.XLOOKUP(A54,OptionsTable[Name],OptionsTable[Notes],,,))</f>
        <v/>
      </c>
      <c r="I54" s="200"/>
      <c r="J54" s="200"/>
      <c r="K54" s="44">
        <f>_xlfn.XLOOKUP(A54,OptionsTable[Name],OptionsTable[TL],,,)</f>
        <v>0</v>
      </c>
      <c r="L54" s="120" t="str">
        <f t="shared" si="10"/>
        <v/>
      </c>
      <c r="N54" s="5" t="str">
        <f>IF(_xlfn.XLOOKUP(A54,OptionsTable[Name],OptionsTable[Trait],,,)="","",_xlfn.XLOOKUP(A54,OptionsTable[Name],OptionsTable[Trait],,,))</f>
        <v/>
      </c>
      <c r="O54" s="5" t="str">
        <f>IF(_xlfn.XLOOKUP(A54,OptionsTable[Name],OptionsTable[Skill],,,)="","",_xlfn.XLOOKUP(A54,OptionsTable[Name],OptionsTable[Skill],,,))</f>
        <v/>
      </c>
      <c r="P54" s="137">
        <f>IF(G54="",_xlfn.XLOOKUP(A54,OptionsTable[Name],OptionsTable[Cost],,,)*F54,_xlfn.XLOOKUP(A54,OptionsTable[Name],OptionsTable[Cost],,,)*F54*G54)</f>
        <v>0</v>
      </c>
      <c r="R54" s="191"/>
      <c r="S54" s="192"/>
      <c r="T54" s="192"/>
      <c r="U54" s="192"/>
      <c r="V54" s="192"/>
      <c r="W54" s="192"/>
      <c r="X54" s="192"/>
      <c r="Y54" s="192"/>
      <c r="Z54" s="193"/>
    </row>
    <row r="55" spans="1:26" ht="12" customHeight="1" x14ac:dyDescent="0.35">
      <c r="A55" s="197"/>
      <c r="B55" s="198"/>
      <c r="C55" s="198"/>
      <c r="D55" s="198"/>
      <c r="E55" s="101">
        <f>IF(AND($B$4=0,_xlfn.XLOOKUP(A55,OptionsTable[Name],OptionsTable[Size0],,,)=TRUE),0,IF(_xlfn.XLOOKUP(A55,OptionsTable[Name],OptionsTable[pSlot],,,)=0,IF(G55="",-_xlfn.XLOOKUP(A55,OptionsTable[Name],OptionsTable[Slots],,,),-_xlfn.XLOOKUP(A55,OptionsTable[Name],OptionsTable[Slots],,,)*G55),-MAX(ROUNDUP(_xlfn.XLOOKUP(A55,OptionsTable[Name],OptionsTable[pSlot],,,)*$E$4,0),1)))</f>
        <v>0</v>
      </c>
      <c r="F55" s="38">
        <f>IF(_xlfn.XLOOKUP(A55,OptionsTable[Name],OptionsTable[xS],,,)=FALSE,1,IF($B$4&gt;0,$E$4,1))</f>
        <v>1</v>
      </c>
      <c r="G55" s="58"/>
      <c r="H55" s="199" t="str">
        <f>IF(_xlfn.XLOOKUP(A55,OptionsTable[Name],OptionsTable[Notes],,,)="","",_xlfn.XLOOKUP(A55,OptionsTable[Name],OptionsTable[Notes],,,))</f>
        <v/>
      </c>
      <c r="I55" s="200"/>
      <c r="J55" s="200"/>
      <c r="K55" s="44">
        <f>_xlfn.XLOOKUP(A55,OptionsTable[Name],OptionsTable[TL],,,)</f>
        <v>0</v>
      </c>
      <c r="L55" s="120" t="str">
        <f t="shared" si="10"/>
        <v/>
      </c>
      <c r="N55" s="5" t="str">
        <f>IF(_xlfn.XLOOKUP(A55,OptionsTable[Name],OptionsTable[Trait],,,)="","",_xlfn.XLOOKUP(A55,OptionsTable[Name],OptionsTable[Trait],,,))</f>
        <v/>
      </c>
      <c r="O55" s="5" t="str">
        <f>IF(_xlfn.XLOOKUP(A55,OptionsTable[Name],OptionsTable[Skill],,,)="","",_xlfn.XLOOKUP(A55,OptionsTable[Name],OptionsTable[Skill],,,))</f>
        <v/>
      </c>
      <c r="P55" s="137">
        <f>IF(G55="",_xlfn.XLOOKUP(A55,OptionsTable[Name],OptionsTable[Cost],,,)*F55,_xlfn.XLOOKUP(A55,OptionsTable[Name],OptionsTable[Cost],,,)*F55*G55)</f>
        <v>0</v>
      </c>
      <c r="R55" s="191"/>
      <c r="S55" s="192"/>
      <c r="T55" s="192"/>
      <c r="U55" s="192"/>
      <c r="V55" s="192"/>
      <c r="W55" s="192"/>
      <c r="X55" s="192"/>
      <c r="Y55" s="192"/>
      <c r="Z55" s="193"/>
    </row>
    <row r="56" spans="1:26" ht="12" customHeight="1" thickBot="1" x14ac:dyDescent="0.4">
      <c r="A56" s="197"/>
      <c r="B56" s="198"/>
      <c r="C56" s="198"/>
      <c r="D56" s="198"/>
      <c r="E56" s="101">
        <f>IF(AND($B$4=0,_xlfn.XLOOKUP(A56,OptionsTable[Name],OptionsTable[Size0],,,)=TRUE),0,IF(_xlfn.XLOOKUP(A56,OptionsTable[Name],OptionsTable[pSlot],,,)=0,IF(G56="",-_xlfn.XLOOKUP(A56,OptionsTable[Name],OptionsTable[Slots],,,),-_xlfn.XLOOKUP(A56,OptionsTable[Name],OptionsTable[Slots],,,)*G56),-MAX(ROUNDUP(_xlfn.XLOOKUP(A56,OptionsTable[Name],OptionsTable[pSlot],,,)*$E$4,0),1)))</f>
        <v>0</v>
      </c>
      <c r="F56" s="38">
        <f>IF(_xlfn.XLOOKUP(A56,OptionsTable[Name],OptionsTable[xS],,,)=FALSE,1,IF($B$4&gt;0,$E$4,1))</f>
        <v>1</v>
      </c>
      <c r="G56" s="106"/>
      <c r="H56" s="199" t="str">
        <f>IF(_xlfn.XLOOKUP(A56,OptionsTable[Name],OptionsTable[Notes],,,)="","",_xlfn.XLOOKUP(A56,OptionsTable[Name],OptionsTable[Notes],,,))</f>
        <v/>
      </c>
      <c r="I56" s="200"/>
      <c r="J56" s="200"/>
      <c r="K56" s="44">
        <f>_xlfn.XLOOKUP(A56,OptionsTable[Name],OptionsTable[TL],,,)</f>
        <v>0</v>
      </c>
      <c r="L56" s="120" t="str">
        <f t="shared" si="10"/>
        <v/>
      </c>
      <c r="N56" s="49" t="str">
        <f>IF(_xlfn.XLOOKUP(A56,OptionsTable[Name],OptionsTable[Trait],,,)="","",_xlfn.XLOOKUP(A56,OptionsTable[Name],OptionsTable[Trait],,,))</f>
        <v/>
      </c>
      <c r="O56" s="49" t="str">
        <f>IF(_xlfn.XLOOKUP(A56,OptionsTable[Name],OptionsTable[Skill],,,)="","",_xlfn.XLOOKUP(A56,OptionsTable[Name],OptionsTable[Skill],,,))</f>
        <v/>
      </c>
      <c r="P56" s="139">
        <f>IF(G56="",_xlfn.XLOOKUP(A56,OptionsTable[Name],OptionsTable[Cost],,,)*F56,_xlfn.XLOOKUP(A56,OptionsTable[Name],OptionsTable[Cost],,,)*F56*G56)</f>
        <v>0</v>
      </c>
      <c r="R56" s="191"/>
      <c r="S56" s="192"/>
      <c r="T56" s="192"/>
      <c r="U56" s="192"/>
      <c r="V56" s="192"/>
      <c r="W56" s="192"/>
      <c r="X56" s="192"/>
      <c r="Y56" s="192"/>
      <c r="Z56" s="193"/>
    </row>
    <row r="57" spans="1:26" ht="12" customHeight="1" thickBot="1" x14ac:dyDescent="0.4">
      <c r="A57" s="222" t="s">
        <v>189</v>
      </c>
      <c r="B57" s="223"/>
      <c r="C57" s="223"/>
      <c r="D57" s="223"/>
      <c r="E57" s="101">
        <f>MIN(0,-G57)</f>
        <v>0</v>
      </c>
      <c r="F57" s="73"/>
      <c r="G57" s="107"/>
      <c r="H57" s="224"/>
      <c r="I57" s="225"/>
      <c r="J57" s="225"/>
      <c r="K57" s="75"/>
      <c r="L57" s="75"/>
      <c r="M57" s="74"/>
      <c r="N57" s="76"/>
      <c r="O57" s="76"/>
      <c r="P57" s="140">
        <f>E57*100</f>
        <v>0</v>
      </c>
      <c r="R57" s="191"/>
      <c r="S57" s="192"/>
      <c r="T57" s="192"/>
      <c r="U57" s="192"/>
      <c r="V57" s="192"/>
      <c r="W57" s="192"/>
      <c r="X57" s="192"/>
      <c r="Y57" s="192"/>
      <c r="Z57" s="193"/>
    </row>
    <row r="58" spans="1:26" ht="12" customHeight="1" thickBot="1" x14ac:dyDescent="0.4">
      <c r="A58" s="64" t="s">
        <v>179</v>
      </c>
      <c r="B58" s="64"/>
      <c r="C58" s="64"/>
      <c r="D58" s="64"/>
      <c r="E58" s="64"/>
      <c r="F58" s="39"/>
      <c r="G58" s="65"/>
      <c r="H58" s="64" t="s">
        <v>356</v>
      </c>
      <c r="I58" s="64"/>
      <c r="J58" s="78" t="s">
        <v>357</v>
      </c>
      <c r="K58" s="77" t="s">
        <v>4</v>
      </c>
      <c r="L58" s="66" t="s">
        <v>358</v>
      </c>
      <c r="M58" s="64" t="s">
        <v>5</v>
      </c>
      <c r="N58" s="64" t="s">
        <v>355</v>
      </c>
      <c r="O58" s="64"/>
      <c r="P58" s="135" t="s">
        <v>5</v>
      </c>
      <c r="R58" s="191"/>
      <c r="S58" s="192"/>
      <c r="T58" s="192"/>
      <c r="U58" s="192"/>
      <c r="V58" s="192"/>
      <c r="W58" s="192"/>
      <c r="X58" s="192"/>
      <c r="Y58" s="192"/>
      <c r="Z58" s="193"/>
    </row>
    <row r="59" spans="1:26" ht="12" customHeight="1" x14ac:dyDescent="0.35">
      <c r="A59" s="226" t="s">
        <v>359</v>
      </c>
      <c r="B59" s="227"/>
      <c r="C59" s="227"/>
      <c r="D59" s="227"/>
      <c r="E59" s="40"/>
      <c r="F59" s="38"/>
      <c r="G59" s="108"/>
      <c r="H59" s="228"/>
      <c r="I59" s="229"/>
      <c r="J59" s="51"/>
      <c r="K59" s="50"/>
      <c r="L59" s="51"/>
      <c r="M59" s="51"/>
      <c r="N59" s="51"/>
      <c r="P59" s="141"/>
      <c r="R59" s="191"/>
      <c r="S59" s="192"/>
      <c r="T59" s="192"/>
      <c r="U59" s="192"/>
      <c r="V59" s="192"/>
      <c r="W59" s="192"/>
      <c r="X59" s="192"/>
      <c r="Y59" s="192"/>
      <c r="Z59" s="193"/>
    </row>
    <row r="60" spans="1:26" ht="12" customHeight="1" x14ac:dyDescent="0.35">
      <c r="A60" s="197"/>
      <c r="B60" s="198"/>
      <c r="C60" s="198"/>
      <c r="D60" s="198"/>
      <c r="E60" s="40"/>
      <c r="F60" s="38"/>
      <c r="G60" s="58"/>
      <c r="H60" s="199"/>
      <c r="I60" s="219"/>
      <c r="J60" s="23"/>
      <c r="K60" s="45"/>
      <c r="L60" s="23"/>
      <c r="M60" s="23"/>
      <c r="N60" s="23"/>
      <c r="P60" s="142"/>
      <c r="R60" s="191"/>
      <c r="S60" s="192"/>
      <c r="T60" s="192"/>
      <c r="U60" s="192"/>
      <c r="V60" s="192"/>
      <c r="W60" s="192"/>
      <c r="X60" s="192"/>
      <c r="Y60" s="192"/>
      <c r="Z60" s="193"/>
    </row>
    <row r="61" spans="1:26" ht="12" customHeight="1" x14ac:dyDescent="0.35">
      <c r="A61" s="197"/>
      <c r="B61" s="198"/>
      <c r="C61" s="198"/>
      <c r="D61" s="198"/>
      <c r="E61" s="40"/>
      <c r="F61" s="38"/>
      <c r="G61" s="58"/>
      <c r="H61" s="199"/>
      <c r="I61" s="219"/>
      <c r="J61" s="23"/>
      <c r="K61" s="45"/>
      <c r="L61" s="23"/>
      <c r="M61" s="23"/>
      <c r="N61" s="23"/>
      <c r="P61" s="142"/>
      <c r="R61" s="191"/>
      <c r="S61" s="192"/>
      <c r="T61" s="192"/>
      <c r="U61" s="192"/>
      <c r="V61" s="192"/>
      <c r="W61" s="192"/>
      <c r="X61" s="192"/>
      <c r="Y61" s="192"/>
      <c r="Z61" s="193"/>
    </row>
    <row r="62" spans="1:26" ht="12" customHeight="1" thickBot="1" x14ac:dyDescent="0.4">
      <c r="E62" s="40"/>
      <c r="F62" s="38"/>
      <c r="K62" s="40"/>
      <c r="R62" s="191"/>
      <c r="S62" s="192"/>
      <c r="T62" s="192"/>
      <c r="U62" s="192"/>
      <c r="V62" s="192"/>
      <c r="W62" s="192"/>
      <c r="X62" s="192"/>
      <c r="Y62" s="192"/>
      <c r="Z62" s="193"/>
    </row>
    <row r="63" spans="1:26" ht="12" customHeight="1" thickBot="1" x14ac:dyDescent="0.4">
      <c r="A63" s="64" t="s">
        <v>65</v>
      </c>
      <c r="B63" s="64"/>
      <c r="C63" s="64"/>
      <c r="D63" s="64"/>
      <c r="E63" s="65" t="s">
        <v>10</v>
      </c>
      <c r="F63" s="39"/>
      <c r="G63" s="64"/>
      <c r="H63" s="64" t="s">
        <v>48</v>
      </c>
      <c r="I63" s="64" t="s">
        <v>153</v>
      </c>
      <c r="J63" s="78" t="s">
        <v>402</v>
      </c>
      <c r="K63" s="77" t="s">
        <v>4</v>
      </c>
      <c r="L63" s="66" t="s">
        <v>89</v>
      </c>
      <c r="M63" s="64"/>
      <c r="N63" s="64" t="s">
        <v>25</v>
      </c>
      <c r="O63" s="64" t="s">
        <v>90</v>
      </c>
      <c r="P63" s="135" t="s">
        <v>5</v>
      </c>
      <c r="R63" s="191"/>
      <c r="S63" s="192"/>
      <c r="T63" s="192"/>
      <c r="U63" s="192"/>
      <c r="V63" s="192"/>
      <c r="W63" s="192"/>
      <c r="X63" s="192"/>
      <c r="Y63" s="192"/>
      <c r="Z63" s="193"/>
    </row>
    <row r="64" spans="1:26" ht="12" customHeight="1" x14ac:dyDescent="0.35">
      <c r="A64" s="93" t="s">
        <v>309</v>
      </c>
      <c r="B64" s="226" t="s">
        <v>83</v>
      </c>
      <c r="C64" s="227"/>
      <c r="D64" s="227"/>
      <c r="E64" s="40">
        <f>IF(L64+K64-O2&gt;B4,-1,0)</f>
        <v>0</v>
      </c>
      <c r="F64" s="38"/>
      <c r="H64" s="1">
        <f>_xlfn.XLOOKUP(B64,Brains[Programming/Control],Brains[Base INT],,,)</f>
        <v>11</v>
      </c>
      <c r="I64" s="31">
        <f>IF(H64&gt;17,4,IF(H64&gt;14,3,IF(H64&gt;11,2,IF(H64&gt;8,1,IF(H64&gt;5,0,IF(H64&gt;2,-1,-2))))))</f>
        <v>1</v>
      </c>
      <c r="J64" s="1">
        <f>_xlfn.XLOOKUP(B64,Brains[Programming/Control],Brains[Computer/X],,,)</f>
        <v>5</v>
      </c>
      <c r="K64" s="44">
        <f>_xlfn.XLOOKUP(B64,Brains[Programming/Control],Brains[TL],,,)</f>
        <v>14</v>
      </c>
      <c r="L64">
        <f>_xlfn.XLOOKUP(B64,Brains[Programming/Control],Brains[Computer/X],,,)</f>
        <v>5</v>
      </c>
      <c r="M64" s="12" t="str">
        <f>_xlfn.XLOOKUP(B64,Brains[Programming/Control],Brains[Base capability (built-in no bandwidth, cumulative)],,,)</f>
        <v>Intellect Interface, Expert/2, Security/2</v>
      </c>
      <c r="N64" s="12"/>
      <c r="O64" s="12" t="str">
        <f>IF(_xlfn.XLOOKUP(B64,Brains[Programming/Control],Brains[Skill],,,)="","",_xlfn.XLOOKUP(B64,Brains[Programming/Control],Brains[Skill],,,))</f>
        <v/>
      </c>
      <c r="P64" s="137">
        <f>_xlfn.XLOOKUP(B64,Brains[Programming/Control],Brains[Cost],,,)*IF(L64&gt;2,2/(2)^(1+O2-K64),1)</f>
        <v>125000</v>
      </c>
      <c r="R64" s="191"/>
      <c r="S64" s="192"/>
      <c r="T64" s="192"/>
      <c r="U64" s="192"/>
      <c r="V64" s="192"/>
      <c r="W64" s="192"/>
      <c r="X64" s="192"/>
      <c r="Y64" s="192"/>
      <c r="Z64" s="193"/>
    </row>
    <row r="65" spans="1:26" ht="12" customHeight="1" x14ac:dyDescent="0.35">
      <c r="A65" s="93" t="s">
        <v>152</v>
      </c>
      <c r="B65" s="197" t="s">
        <v>26</v>
      </c>
      <c r="C65" s="198"/>
      <c r="D65" s="198"/>
      <c r="E65" s="40">
        <f>-_xlfn.XLOOKUP(B65,Bandwidth[Minimum Base Brain],Bandwidth[Slots],,,)</f>
        <v>0</v>
      </c>
      <c r="F65" s="38"/>
      <c r="K65" s="44">
        <f>_xlfn.XLOOKUP(B65,Bandwidth[Minimum Base Brain],Bandwidth[TL],,,)</f>
        <v>0</v>
      </c>
      <c r="L65">
        <f>_xlfn.XLOOKUP(B65,Bandwidth[Minimum Base Brain],Bandwidth[Bandwidth],,,)+L64</f>
        <v>5</v>
      </c>
      <c r="M65" t="s">
        <v>310</v>
      </c>
      <c r="P65" s="137">
        <f>_xlfn.XLOOKUP(B65,Bandwidth[Minimum Base Brain],Bandwidth[Cost],,,)</f>
        <v>0</v>
      </c>
      <c r="R65" s="191"/>
      <c r="S65" s="192"/>
      <c r="T65" s="192"/>
      <c r="U65" s="192"/>
      <c r="V65" s="192"/>
      <c r="W65" s="192"/>
      <c r="X65" s="192"/>
      <c r="Y65" s="192"/>
      <c r="Z65" s="193"/>
    </row>
    <row r="66" spans="1:26" ht="12" customHeight="1" x14ac:dyDescent="0.35">
      <c r="A66" s="93" t="s">
        <v>708</v>
      </c>
      <c r="B66" s="29">
        <v>1</v>
      </c>
      <c r="E66" s="40"/>
      <c r="F66" s="38" cm="1">
        <f t="array" ref="F66">_xlfn.IFS(B66=0,0,B66=1,-1,B66=2,-3,B66=3,-6)</f>
        <v>-1</v>
      </c>
      <c r="H66" s="6">
        <f>H64+B66</f>
        <v>12</v>
      </c>
      <c r="I66" s="15">
        <f>IF(H66&gt;17,4,IF(H66&gt;14,3,IF(H66&gt;11,2,IF(H66&gt;8,1,IF(H66&gt;5,0,IF(H66&gt;2,-1,-2))))))</f>
        <v>2</v>
      </c>
      <c r="K66" s="44"/>
      <c r="L66" s="56">
        <f>L65+F66</f>
        <v>4</v>
      </c>
      <c r="M66" t="s">
        <v>310</v>
      </c>
      <c r="P66" s="137" cm="1">
        <f t="array" ref="P66">_xlfn.IFS(B66=0,0,B66=1,(H64+1)*1000,B66=2,(H64+1)*(H64+2)*1000,B66=3,(H64+1)*(H64+2)*(H64+3)*1000)*IF(H66&gt;11,2,1)</f>
        <v>24000</v>
      </c>
      <c r="R66" s="191"/>
      <c r="S66" s="192"/>
      <c r="T66" s="192"/>
      <c r="U66" s="192"/>
      <c r="V66" s="192"/>
      <c r="W66" s="192"/>
      <c r="X66" s="192"/>
      <c r="Y66" s="192"/>
      <c r="Z66" s="193"/>
    </row>
    <row r="67" spans="1:26" ht="12" customHeight="1" thickBot="1" x14ac:dyDescent="0.4">
      <c r="A67" s="93" t="s">
        <v>308</v>
      </c>
      <c r="B67" s="28" t="b">
        <v>0</v>
      </c>
      <c r="C67" s="24"/>
      <c r="D67" s="24"/>
      <c r="E67" s="41"/>
      <c r="F67" s="39"/>
      <c r="G67" s="24"/>
      <c r="H67" s="47"/>
      <c r="I67" s="24"/>
      <c r="J67" s="105">
        <f>J64-COUNTIF(G73:G90,0)</f>
        <v>5</v>
      </c>
      <c r="K67" s="43"/>
      <c r="L67" s="57">
        <f>L66-SUM(G69:G90)</f>
        <v>1</v>
      </c>
      <c r="M67" s="24" t="s">
        <v>312</v>
      </c>
      <c r="N67" s="25" t="str">
        <f>IF(B67,"Hardened, ","")</f>
        <v/>
      </c>
      <c r="O67" s="24"/>
      <c r="P67" s="136">
        <f>B67*(P65+P64)*0.5</f>
        <v>0</v>
      </c>
      <c r="R67" s="191"/>
      <c r="S67" s="192"/>
      <c r="T67" s="192"/>
      <c r="U67" s="192"/>
      <c r="V67" s="192"/>
      <c r="W67" s="192"/>
      <c r="X67" s="192"/>
      <c r="Y67" s="192"/>
      <c r="Z67" s="193"/>
    </row>
    <row r="68" spans="1:26" ht="12" customHeight="1" thickBot="1" x14ac:dyDescent="0.4">
      <c r="A68" s="64" t="s">
        <v>116</v>
      </c>
      <c r="B68" s="64"/>
      <c r="C68" s="64"/>
      <c r="D68" s="64"/>
      <c r="E68" s="65"/>
      <c r="F68" s="65"/>
      <c r="G68" s="65" t="s">
        <v>89</v>
      </c>
      <c r="H68" s="64"/>
      <c r="I68" s="64"/>
      <c r="J68" s="64"/>
      <c r="K68" s="64"/>
      <c r="L68" s="64"/>
      <c r="M68" s="64"/>
      <c r="N68" s="64"/>
      <c r="O68" s="64"/>
      <c r="P68" s="135" t="s">
        <v>5</v>
      </c>
      <c r="R68" s="191"/>
      <c r="S68" s="192"/>
      <c r="T68" s="192"/>
      <c r="U68" s="192"/>
      <c r="V68" s="192"/>
      <c r="W68" s="192"/>
      <c r="X68" s="192"/>
      <c r="Y68" s="192"/>
      <c r="Z68" s="193"/>
    </row>
    <row r="69" spans="1:26" ht="12" customHeight="1" x14ac:dyDescent="0.35">
      <c r="A69" s="93" t="s">
        <v>14</v>
      </c>
      <c r="B69" s="197" t="s">
        <v>117</v>
      </c>
      <c r="C69" s="198"/>
      <c r="D69" s="198"/>
      <c r="E69" s="40"/>
      <c r="G69" s="59">
        <f>_xlfn.XLOOKUP(B69,PrimitiveBrain[Name],PrimitiveBrain[Bandwidth],,,)</f>
        <v>0</v>
      </c>
      <c r="K69" s="44">
        <f>_xlfn.XLOOKUP(B69,PrimitiveBrain[Name],PrimitiveBrain[TL],,,)</f>
        <v>0</v>
      </c>
      <c r="N69" s="12" t="str">
        <f>IF(B69="Alert","Alarm, ","")</f>
        <v/>
      </c>
      <c r="O69" s="12" t="str">
        <f>IF(_xlfn.XLOOKUP(B69,PrimitiveBrain[Name],PrimitiveBrain[Skill],,,)="","",_xlfn.XLOOKUP(B69,PrimitiveBrain[Name],PrimitiveBrain[Skill],,,))</f>
        <v/>
      </c>
      <c r="P69" s="137">
        <f>_xlfn.XLOOKUP(B69,PrimitiveBrain[Name],PrimitiveBrain[Cr],,,)</f>
        <v>0</v>
      </c>
      <c r="R69" s="191"/>
      <c r="S69" s="192"/>
      <c r="T69" s="192"/>
      <c r="U69" s="192"/>
      <c r="V69" s="192"/>
      <c r="W69" s="192"/>
      <c r="X69" s="192"/>
      <c r="Y69" s="192"/>
      <c r="Z69" s="193"/>
    </row>
    <row r="70" spans="1:26" ht="12" customHeight="1" x14ac:dyDescent="0.35">
      <c r="A70" s="93" t="s">
        <v>0</v>
      </c>
      <c r="B70" s="197" t="s">
        <v>117</v>
      </c>
      <c r="C70" s="198"/>
      <c r="D70" s="198"/>
      <c r="E70" s="40"/>
      <c r="G70" s="59">
        <f>_xlfn.XLOOKUP(B70,BasicBrain[Name],BasicBrain[Bandwidth],,,)</f>
        <v>0</v>
      </c>
      <c r="K70" s="44">
        <f>_xlfn.XLOOKUP(B70,BasicBrain[Name],BasicBrain[TL],,,)</f>
        <v>0</v>
      </c>
      <c r="N70" s="12" t="str">
        <f>IF(B70="Basic (security)","Alarm, ","")</f>
        <v/>
      </c>
      <c r="O70" s="5" t="str">
        <f>IF(_xlfn.XLOOKUP(B70,BasicBrain[Name],BasicBrain[Skill],,,)="","",_xlfn.XLOOKUP(B70,BasicBrain[Name],BasicBrain[Skill],,,))</f>
        <v/>
      </c>
      <c r="P70" s="137">
        <f>_xlfn.XLOOKUP(B70,BasicBrain[Name],BasicBrain[Cr],,,)</f>
        <v>0</v>
      </c>
      <c r="R70" s="191"/>
      <c r="S70" s="192"/>
      <c r="T70" s="192"/>
      <c r="U70" s="192"/>
      <c r="V70" s="192"/>
      <c r="W70" s="192"/>
      <c r="X70" s="192"/>
      <c r="Y70" s="192"/>
      <c r="Z70" s="193"/>
    </row>
    <row r="71" spans="1:26" ht="12" customHeight="1" thickBot="1" x14ac:dyDescent="0.4">
      <c r="A71" s="93" t="s">
        <v>108</v>
      </c>
      <c r="B71" s="230" t="s">
        <v>117</v>
      </c>
      <c r="C71" s="231"/>
      <c r="D71" s="231"/>
      <c r="E71" s="42"/>
      <c r="F71" s="13"/>
      <c r="G71" s="59">
        <f>_xlfn.XLOOKUP(B71,HunterKillerBrain[Name],HunterKillerBrain[Bandwidth],,,)</f>
        <v>0</v>
      </c>
      <c r="H71" s="13"/>
      <c r="I71" s="13"/>
      <c r="J71" s="13"/>
      <c r="K71" s="46">
        <f>_xlfn.XLOOKUP(B71,HunterKillerBrain[Name],HunterKillerBrain[TL],,,)</f>
        <v>0</v>
      </c>
      <c r="L71" s="4"/>
      <c r="M71" s="13"/>
      <c r="N71" s="13"/>
      <c r="O71" s="14" t="str">
        <f>IF(_xlfn.XLOOKUP(B71,HunterKillerBrain[Name],HunterKillerBrain[Skill],,,)="","",_xlfn.XLOOKUP(B71,HunterKillerBrain[Name],HunterKillerBrain[Skill],,,))</f>
        <v/>
      </c>
      <c r="P71" s="137">
        <f>_xlfn.XLOOKUP(B71,HunterKillerBrain[Name],HunterKillerBrain[Cr],,,)</f>
        <v>0</v>
      </c>
      <c r="R71" s="191"/>
      <c r="S71" s="192"/>
      <c r="T71" s="192"/>
      <c r="U71" s="192"/>
      <c r="V71" s="192"/>
      <c r="W71" s="192"/>
      <c r="X71" s="192"/>
      <c r="Y71" s="192"/>
      <c r="Z71" s="193"/>
    </row>
    <row r="72" spans="1:26" ht="12" customHeight="1" thickBot="1" x14ac:dyDescent="0.4">
      <c r="A72" s="64" t="s">
        <v>114</v>
      </c>
      <c r="B72" s="64" t="s">
        <v>361</v>
      </c>
      <c r="C72" s="64"/>
      <c r="D72" s="64" t="s">
        <v>6</v>
      </c>
      <c r="E72" s="65"/>
      <c r="F72" s="65"/>
      <c r="G72" s="65" t="s">
        <v>89</v>
      </c>
      <c r="H72" s="64"/>
      <c r="I72" s="64" t="s">
        <v>314</v>
      </c>
      <c r="J72" s="78"/>
      <c r="K72" s="77" t="s">
        <v>4</v>
      </c>
      <c r="L72" s="66"/>
      <c r="M72" s="64"/>
      <c r="N72" s="64"/>
      <c r="O72" s="64" t="s">
        <v>307</v>
      </c>
      <c r="P72" s="135" t="s">
        <v>5</v>
      </c>
      <c r="R72" s="191"/>
      <c r="S72" s="192"/>
      <c r="T72" s="192"/>
      <c r="U72" s="192"/>
      <c r="V72" s="192"/>
      <c r="W72" s="192"/>
      <c r="X72" s="192"/>
      <c r="Y72" s="192"/>
      <c r="Z72" s="193"/>
    </row>
    <row r="73" spans="1:26" ht="12" customHeight="1" x14ac:dyDescent="0.35">
      <c r="A73" s="48" t="s">
        <v>131</v>
      </c>
      <c r="B73" s="228"/>
      <c r="C73" s="229"/>
      <c r="D73" s="58">
        <v>3</v>
      </c>
      <c r="E73" s="40"/>
      <c r="G73" s="59">
        <f>IF(A73="N/A","",D73+_xlfn.XLOOKUP(A73,StandardBrain[Name],StandardBrain[Bandwidth],,,))</f>
        <v>3</v>
      </c>
      <c r="I73" s="59" t="str">
        <f>_xlfn.XLOOKUP(A73,StandardBrain[Name],StandardBrain[Characteristic],,,)</f>
        <v>INT</v>
      </c>
      <c r="K73" s="44">
        <f>_xlfn.XLOOKUP(A73,StandardBrain[Name],StandardBrain[TL],,,)+D73</f>
        <v>12</v>
      </c>
      <c r="O73" s="12" t="str">
        <f>IF(_xlfn.XLOOKUP(A73,StandardBrain[Name],StandardBrain[Skill],,,)="","",_xlfn.CONCAT(_xlfn.XLOOKUP(A73,StandardBrain[Name],StandardBrain[Skill],,,),IF(RIGHT(_xlfn.XLOOKUP(A73,StandardBrain[Name],StandardBrain[Skill],,,),1)="(",B73,""),IF(RIGHT(_xlfn.XLOOKUP(A73,StandardBrain[Name],StandardBrain[Skill],,,),1)="(",")","")," ",D73+IF(_xlfn.XLOOKUP(A73,StandardBrain[Name],StandardBrain[Characteristic],,,)="INT",$I$66,$M$19),", "))</f>
        <v xml:space="preserve">Medic 5, </v>
      </c>
      <c r="P73" s="137">
        <f>_xlfn.XLOOKUP(A73,StandardBrain[Name],StandardBrain[Cr],,,)*10^(D73)</f>
        <v>200000</v>
      </c>
      <c r="R73" s="191"/>
      <c r="S73" s="192"/>
      <c r="T73" s="192"/>
      <c r="U73" s="192"/>
      <c r="V73" s="192"/>
      <c r="W73" s="192"/>
      <c r="X73" s="192"/>
      <c r="Y73" s="192"/>
      <c r="Z73" s="193"/>
    </row>
    <row r="74" spans="1:26" ht="12" customHeight="1" x14ac:dyDescent="0.35">
      <c r="A74" s="30" t="s">
        <v>117</v>
      </c>
      <c r="B74" s="199"/>
      <c r="C74" s="219"/>
      <c r="D74" s="58"/>
      <c r="E74" s="40"/>
      <c r="G74" s="59" t="str">
        <f>IF(A74="N/A","",D74+_xlfn.XLOOKUP(A74,StandardBrain[Name],StandardBrain[Bandwidth],,,))</f>
        <v/>
      </c>
      <c r="I74" s="59" t="str">
        <f>_xlfn.XLOOKUP(A74,StandardBrain[Name],StandardBrain[Characteristic],,,)</f>
        <v xml:space="preserve"> </v>
      </c>
      <c r="K74" s="44">
        <f>_xlfn.XLOOKUP(A74,StandardBrain[Name],StandardBrain[TL],,,)+D74</f>
        <v>0</v>
      </c>
      <c r="O74" s="12" t="str">
        <f>IF(_xlfn.XLOOKUP(A74,StandardBrain[Name],StandardBrain[Skill],,,)="","",_xlfn.CONCAT(_xlfn.XLOOKUP(A74,StandardBrain[Name],StandardBrain[Skill],,,),IF(RIGHT(_xlfn.XLOOKUP(A74,StandardBrain[Name],StandardBrain[Skill],,,),1)="(",B74,""),IF(RIGHT(_xlfn.XLOOKUP(A74,StandardBrain[Name],StandardBrain[Skill],,,),1)="(",")","")," ",D74+IF(_xlfn.XLOOKUP(A74,StandardBrain[Name],StandardBrain[Characteristic],,,)="INT",$I$66,$M$19),", "))</f>
        <v/>
      </c>
      <c r="P74" s="137">
        <f>_xlfn.XLOOKUP(A74,StandardBrain[Name],StandardBrain[Cr],,,)*10^(D74)</f>
        <v>0</v>
      </c>
      <c r="R74" s="191"/>
      <c r="S74" s="192"/>
      <c r="T74" s="192"/>
      <c r="U74" s="192"/>
      <c r="V74" s="192"/>
      <c r="W74" s="192"/>
      <c r="X74" s="192"/>
      <c r="Y74" s="192"/>
      <c r="Z74" s="193"/>
    </row>
    <row r="75" spans="1:26" ht="12" customHeight="1" x14ac:dyDescent="0.35">
      <c r="A75" s="30" t="s">
        <v>117</v>
      </c>
      <c r="B75" s="199"/>
      <c r="C75" s="219"/>
      <c r="D75" s="58"/>
      <c r="E75" s="40"/>
      <c r="G75" s="59" t="str">
        <f>IF(A75="N/A","",D75+_xlfn.XLOOKUP(A75,StandardBrain[Name],StandardBrain[Bandwidth],,,))</f>
        <v/>
      </c>
      <c r="I75" s="59" t="str">
        <f>_xlfn.XLOOKUP(A75,StandardBrain[Name],StandardBrain[Characteristic],,,)</f>
        <v xml:space="preserve"> </v>
      </c>
      <c r="K75" s="44">
        <f>_xlfn.XLOOKUP(A75,StandardBrain[Name],StandardBrain[TL],,,)+D75</f>
        <v>0</v>
      </c>
      <c r="O75" s="12" t="str">
        <f>IF(_xlfn.XLOOKUP(A75,StandardBrain[Name],StandardBrain[Skill],,,)="","",_xlfn.CONCAT(_xlfn.XLOOKUP(A75,StandardBrain[Name],StandardBrain[Skill],,,),IF(RIGHT(_xlfn.XLOOKUP(A75,StandardBrain[Name],StandardBrain[Skill],,,),1)="(",B75,""),IF(RIGHT(_xlfn.XLOOKUP(A75,StandardBrain[Name],StandardBrain[Skill],,,),1)="(",")","")," ",D75+IF(_xlfn.XLOOKUP(A75,StandardBrain[Name],StandardBrain[Characteristic],,,)="INT",$I$66,$M$19),", "))</f>
        <v/>
      </c>
      <c r="P75" s="137">
        <f>_xlfn.XLOOKUP(A75,StandardBrain[Name],StandardBrain[Cr],,,)*10^(D75)</f>
        <v>0</v>
      </c>
      <c r="R75" s="194"/>
      <c r="S75" s="195"/>
      <c r="T75" s="195"/>
      <c r="U75" s="195"/>
      <c r="V75" s="195"/>
      <c r="W75" s="195"/>
      <c r="X75" s="195"/>
      <c r="Y75" s="195"/>
      <c r="Z75" s="196"/>
    </row>
    <row r="76" spans="1:26" ht="12" customHeight="1" x14ac:dyDescent="0.35">
      <c r="A76" s="30" t="s">
        <v>117</v>
      </c>
      <c r="B76" s="199"/>
      <c r="C76" s="219"/>
      <c r="D76" s="58"/>
      <c r="E76" s="40"/>
      <c r="G76" s="59" t="str">
        <f>IF(A76="N/A","",D76+_xlfn.XLOOKUP(A76,StandardBrain[Name],StandardBrain[Bandwidth],,,))</f>
        <v/>
      </c>
      <c r="I76" s="59" t="str">
        <f>_xlfn.XLOOKUP(A76,StandardBrain[Name],StandardBrain[Characteristic],,,)</f>
        <v xml:space="preserve"> </v>
      </c>
      <c r="K76" s="44">
        <f>_xlfn.XLOOKUP(A76,StandardBrain[Name],StandardBrain[TL],,,)+D76</f>
        <v>0</v>
      </c>
      <c r="O76" s="12" t="str">
        <f>IF(_xlfn.XLOOKUP(A76,StandardBrain[Name],StandardBrain[Skill],,,)="","",_xlfn.CONCAT(_xlfn.XLOOKUP(A76,StandardBrain[Name],StandardBrain[Skill],,,),IF(RIGHT(_xlfn.XLOOKUP(A76,StandardBrain[Name],StandardBrain[Skill],,,),1)="(",B76,""),IF(RIGHT(_xlfn.XLOOKUP(A76,StandardBrain[Name],StandardBrain[Skill],,,),1)="(",")","")," ",D76+IF(_xlfn.XLOOKUP(A76,StandardBrain[Name],StandardBrain[Characteristic],,,)="INT",$I$66,$M$19),", "))</f>
        <v/>
      </c>
      <c r="P76" s="137">
        <f>_xlfn.XLOOKUP(A76,StandardBrain[Name],StandardBrain[Cr],,,)*10^(D76)</f>
        <v>0</v>
      </c>
    </row>
    <row r="77" spans="1:26" ht="12" customHeight="1" x14ac:dyDescent="0.35">
      <c r="A77" s="30" t="s">
        <v>117</v>
      </c>
      <c r="B77" s="199"/>
      <c r="C77" s="219"/>
      <c r="D77" s="58"/>
      <c r="E77" s="40"/>
      <c r="G77" s="59" t="str">
        <f>IF(A77="N/A","",D77+_xlfn.XLOOKUP(A77,StandardBrain[Name],StandardBrain[Bandwidth],,,))</f>
        <v/>
      </c>
      <c r="I77" s="59" t="str">
        <f>_xlfn.XLOOKUP(A77,StandardBrain[Name],StandardBrain[Characteristic],,,)</f>
        <v xml:space="preserve"> </v>
      </c>
      <c r="K77" s="44">
        <f>_xlfn.XLOOKUP(A77,StandardBrain[Name],StandardBrain[TL],,,)+D77</f>
        <v>0</v>
      </c>
      <c r="O77" s="12" t="str">
        <f>IF(_xlfn.XLOOKUP(A77,StandardBrain[Name],StandardBrain[Skill],,,)="","",_xlfn.CONCAT(_xlfn.XLOOKUP(A77,StandardBrain[Name],StandardBrain[Skill],,,),IF(RIGHT(_xlfn.XLOOKUP(A77,StandardBrain[Name],StandardBrain[Skill],,,),1)="(",B77,""),IF(RIGHT(_xlfn.XLOOKUP(A77,StandardBrain[Name],StandardBrain[Skill],,,),1)="(",")","")," ",D77+IF(_xlfn.XLOOKUP(A77,StandardBrain[Name],StandardBrain[Characteristic],,,)="INT",$I$66,$M$19),", "))</f>
        <v/>
      </c>
      <c r="P77" s="137">
        <f>_xlfn.XLOOKUP(A77,StandardBrain[Name],StandardBrain[Cr],,,)*10^(D77)</f>
        <v>0</v>
      </c>
    </row>
    <row r="78" spans="1:26" ht="12" customHeight="1" x14ac:dyDescent="0.35">
      <c r="A78" s="30" t="s">
        <v>117</v>
      </c>
      <c r="B78" s="199"/>
      <c r="C78" s="219"/>
      <c r="D78" s="58"/>
      <c r="E78" s="40"/>
      <c r="G78" s="59" t="str">
        <f>IF(A78="N/A","",D78+_xlfn.XLOOKUP(A78,StandardBrain[Name],StandardBrain[Bandwidth],,,))</f>
        <v/>
      </c>
      <c r="I78" s="59" t="str">
        <f>_xlfn.XLOOKUP(A78,StandardBrain[Name],StandardBrain[Characteristic],,,)</f>
        <v xml:space="preserve"> </v>
      </c>
      <c r="K78" s="44">
        <f>_xlfn.XLOOKUP(A78,StandardBrain[Name],StandardBrain[TL],,,)+D78</f>
        <v>0</v>
      </c>
      <c r="O78" s="12" t="str">
        <f>IF(_xlfn.XLOOKUP(A78,StandardBrain[Name],StandardBrain[Skill],,,)="","",_xlfn.CONCAT(_xlfn.XLOOKUP(A78,StandardBrain[Name],StandardBrain[Skill],,,),IF(RIGHT(_xlfn.XLOOKUP(A78,StandardBrain[Name],StandardBrain[Skill],,,),1)="(",B78,""),IF(RIGHT(_xlfn.XLOOKUP(A78,StandardBrain[Name],StandardBrain[Skill],,,),1)="(",")","")," ",D78+IF(_xlfn.XLOOKUP(A78,StandardBrain[Name],StandardBrain[Characteristic],,,)="INT",$I$66,$M$19),", "))</f>
        <v/>
      </c>
      <c r="P78" s="137">
        <f>_xlfn.XLOOKUP(A78,StandardBrain[Name],StandardBrain[Cr],,,)*10^(D78)</f>
        <v>0</v>
      </c>
    </row>
    <row r="79" spans="1:26" ht="12" customHeight="1" x14ac:dyDescent="0.35">
      <c r="A79" s="30" t="s">
        <v>117</v>
      </c>
      <c r="B79" s="199"/>
      <c r="C79" s="219"/>
      <c r="D79" s="58"/>
      <c r="E79" s="40"/>
      <c r="G79" s="59" t="str">
        <f>IF(A79="N/A","",D79+_xlfn.XLOOKUP(A79,StandardBrain[Name],StandardBrain[Bandwidth],,,))</f>
        <v/>
      </c>
      <c r="I79" s="59" t="str">
        <f>_xlfn.XLOOKUP(A79,StandardBrain[Name],StandardBrain[Characteristic],,,)</f>
        <v xml:space="preserve"> </v>
      </c>
      <c r="K79" s="44">
        <f>_xlfn.XLOOKUP(A79,StandardBrain[Name],StandardBrain[TL],,,)+D79</f>
        <v>0</v>
      </c>
      <c r="O79" s="12" t="str">
        <f>IF(_xlfn.XLOOKUP(A79,StandardBrain[Name],StandardBrain[Skill],,,)="","",_xlfn.CONCAT(_xlfn.XLOOKUP(A79,StandardBrain[Name],StandardBrain[Skill],,,),IF(RIGHT(_xlfn.XLOOKUP(A79,StandardBrain[Name],StandardBrain[Skill],,,),1)="(",B79,""),IF(RIGHT(_xlfn.XLOOKUP(A79,StandardBrain[Name],StandardBrain[Skill],,,),1)="(",")","")," ",D79+IF(_xlfn.XLOOKUP(A79,StandardBrain[Name],StandardBrain[Characteristic],,,)="INT",$I$66,$M$19),", "))</f>
        <v/>
      </c>
      <c r="P79" s="137">
        <f>_xlfn.XLOOKUP(A79,StandardBrain[Name],StandardBrain[Cr],,,)*10^(D79)</f>
        <v>0</v>
      </c>
    </row>
    <row r="80" spans="1:26" ht="12" customHeight="1" x14ac:dyDescent="0.35">
      <c r="A80" s="30" t="s">
        <v>117</v>
      </c>
      <c r="B80" s="199"/>
      <c r="C80" s="219"/>
      <c r="D80" s="58"/>
      <c r="E80" s="40"/>
      <c r="G80" s="59" t="str">
        <f>IF(A80="N/A","",D80+_xlfn.XLOOKUP(A80,StandardBrain[Name],StandardBrain[Bandwidth],,,))</f>
        <v/>
      </c>
      <c r="I80" s="59" t="str">
        <f>_xlfn.XLOOKUP(A80,StandardBrain[Name],StandardBrain[Characteristic],,,)</f>
        <v xml:space="preserve"> </v>
      </c>
      <c r="K80" s="44">
        <f>_xlfn.XLOOKUP(A80,StandardBrain[Name],StandardBrain[TL],,,)+D80</f>
        <v>0</v>
      </c>
      <c r="O80" s="12" t="str">
        <f>IF(_xlfn.XLOOKUP(A80,StandardBrain[Name],StandardBrain[Skill],,,)="","",_xlfn.CONCAT(_xlfn.XLOOKUP(A80,StandardBrain[Name],StandardBrain[Skill],,,),IF(RIGHT(_xlfn.XLOOKUP(A80,StandardBrain[Name],StandardBrain[Skill],,,),1)="(",B80,""),IF(RIGHT(_xlfn.XLOOKUP(A80,StandardBrain[Name],StandardBrain[Skill],,,),1)="(",")","")," ",D80+IF(_xlfn.XLOOKUP(A80,StandardBrain[Name],StandardBrain[Characteristic],,,)="INT",$I$66,$M$19),", "))</f>
        <v/>
      </c>
      <c r="P80" s="137">
        <f>_xlfn.XLOOKUP(A80,StandardBrain[Name],StandardBrain[Cr],,,)*10^(D80)</f>
        <v>0</v>
      </c>
    </row>
    <row r="81" spans="1:16" ht="12" customHeight="1" x14ac:dyDescent="0.35">
      <c r="A81" s="30" t="s">
        <v>117</v>
      </c>
      <c r="B81" s="199"/>
      <c r="C81" s="219"/>
      <c r="D81" s="58"/>
      <c r="E81" s="40"/>
      <c r="G81" s="59" t="str">
        <f>IF(A81="N/A","",D81+_xlfn.XLOOKUP(A81,StandardBrain[Name],StandardBrain[Bandwidth],,,))</f>
        <v/>
      </c>
      <c r="I81" s="59" t="str">
        <f>_xlfn.XLOOKUP(A81,StandardBrain[Name],StandardBrain[Characteristic],,,)</f>
        <v xml:space="preserve"> </v>
      </c>
      <c r="K81" s="44">
        <f>_xlfn.XLOOKUP(A81,StandardBrain[Name],StandardBrain[TL],,,)+D81</f>
        <v>0</v>
      </c>
      <c r="O81" s="12" t="str">
        <f>IF(_xlfn.XLOOKUP(A81,StandardBrain[Name],StandardBrain[Skill],,,)="","",_xlfn.CONCAT(_xlfn.XLOOKUP(A81,StandardBrain[Name],StandardBrain[Skill],,,),IF(RIGHT(_xlfn.XLOOKUP(A81,StandardBrain[Name],StandardBrain[Skill],,,),1)="(",B81,""),IF(RIGHT(_xlfn.XLOOKUP(A81,StandardBrain[Name],StandardBrain[Skill],,,),1)="(",")","")," ",D81+IF(_xlfn.XLOOKUP(A81,StandardBrain[Name],StandardBrain[Characteristic],,,)="INT",$I$66,$M$19),", "))</f>
        <v/>
      </c>
      <c r="P81" s="137">
        <f>_xlfn.XLOOKUP(A81,StandardBrain[Name],StandardBrain[Cr],,,)*10^(D81)</f>
        <v>0</v>
      </c>
    </row>
    <row r="82" spans="1:16" ht="12" customHeight="1" x14ac:dyDescent="0.35">
      <c r="A82" s="30" t="s">
        <v>117</v>
      </c>
      <c r="B82" s="199"/>
      <c r="C82" s="219"/>
      <c r="D82" s="58"/>
      <c r="E82" s="40"/>
      <c r="G82" s="59" t="str">
        <f>IF(A82="N/A","",D82+_xlfn.XLOOKUP(A82,StandardBrain[Name],StandardBrain[Bandwidth],,,))</f>
        <v/>
      </c>
      <c r="I82" s="59" t="str">
        <f>_xlfn.XLOOKUP(A82,StandardBrain[Name],StandardBrain[Characteristic],,,)</f>
        <v xml:space="preserve"> </v>
      </c>
      <c r="K82" s="44">
        <f>_xlfn.XLOOKUP(A82,StandardBrain[Name],StandardBrain[TL],,,)+D82</f>
        <v>0</v>
      </c>
      <c r="O82" s="12" t="str">
        <f>IF(_xlfn.XLOOKUP(A82,StandardBrain[Name],StandardBrain[Skill],,,)="","",_xlfn.CONCAT(_xlfn.XLOOKUP(A82,StandardBrain[Name],StandardBrain[Skill],,,),IF(RIGHT(_xlfn.XLOOKUP(A82,StandardBrain[Name],StandardBrain[Skill],,,),1)="(",B82,""),IF(RIGHT(_xlfn.XLOOKUP(A82,StandardBrain[Name],StandardBrain[Skill],,,),1)="(",")","")," ",D82+IF(_xlfn.XLOOKUP(A82,StandardBrain[Name],StandardBrain[Characteristic],,,)="INT",$I$66,$M$19),", "))</f>
        <v/>
      </c>
      <c r="P82" s="137">
        <f>_xlfn.XLOOKUP(A82,StandardBrain[Name],StandardBrain[Cr],,,)*10^(D82)</f>
        <v>0</v>
      </c>
    </row>
    <row r="83" spans="1:16" ht="12" customHeight="1" x14ac:dyDescent="0.35">
      <c r="A83" s="30" t="s">
        <v>117</v>
      </c>
      <c r="B83" s="199"/>
      <c r="C83" s="219"/>
      <c r="D83" s="58"/>
      <c r="E83" s="40"/>
      <c r="G83" s="59" t="str">
        <f>IF(A83="N/A","",D83+_xlfn.XLOOKUP(A83,StandardBrain[Name],StandardBrain[Bandwidth],,,))</f>
        <v/>
      </c>
      <c r="I83" s="59" t="str">
        <f>_xlfn.XLOOKUP(A83,StandardBrain[Name],StandardBrain[Characteristic],,,)</f>
        <v xml:space="preserve"> </v>
      </c>
      <c r="K83" s="44">
        <f>_xlfn.XLOOKUP(A83,StandardBrain[Name],StandardBrain[TL],,,)+D83</f>
        <v>0</v>
      </c>
      <c r="O83" s="12" t="str">
        <f>IF(_xlfn.XLOOKUP(A83,StandardBrain[Name],StandardBrain[Skill],,,)="","",_xlfn.CONCAT(_xlfn.XLOOKUP(A83,StandardBrain[Name],StandardBrain[Skill],,,),IF(RIGHT(_xlfn.XLOOKUP(A83,StandardBrain[Name],StandardBrain[Skill],,,),1)="(",B83,""),IF(RIGHT(_xlfn.XLOOKUP(A83,StandardBrain[Name],StandardBrain[Skill],,,),1)="(",")","")," ",D83+IF(_xlfn.XLOOKUP(A83,StandardBrain[Name],StandardBrain[Characteristic],,,)="INT",$I$66,$M$19),", "))</f>
        <v/>
      </c>
      <c r="P83" s="137">
        <f>_xlfn.XLOOKUP(A83,StandardBrain[Name],StandardBrain[Cr],,,)*10^(D83)</f>
        <v>0</v>
      </c>
    </row>
    <row r="84" spans="1:16" ht="12" customHeight="1" x14ac:dyDescent="0.35">
      <c r="A84" s="30" t="s">
        <v>117</v>
      </c>
      <c r="B84" s="199"/>
      <c r="C84" s="219"/>
      <c r="D84" s="58"/>
      <c r="E84" s="40"/>
      <c r="G84" s="59" t="str">
        <f>IF(A84="N/A","",D84+_xlfn.XLOOKUP(A84,StandardBrain[Name],StandardBrain[Bandwidth],,,))</f>
        <v/>
      </c>
      <c r="I84" s="59" t="str">
        <f>_xlfn.XLOOKUP(A84,StandardBrain[Name],StandardBrain[Characteristic],,,)</f>
        <v xml:space="preserve"> </v>
      </c>
      <c r="K84" s="44">
        <f>_xlfn.XLOOKUP(A84,StandardBrain[Name],StandardBrain[TL],,,)+D84</f>
        <v>0</v>
      </c>
      <c r="O84" s="12" t="str">
        <f>IF(_xlfn.XLOOKUP(A84,StandardBrain[Name],StandardBrain[Skill],,,)="","",_xlfn.CONCAT(_xlfn.XLOOKUP(A84,StandardBrain[Name],StandardBrain[Skill],,,),IF(RIGHT(_xlfn.XLOOKUP(A84,StandardBrain[Name],StandardBrain[Skill],,,),1)="(",B84,""),IF(RIGHT(_xlfn.XLOOKUP(A84,StandardBrain[Name],StandardBrain[Skill],,,),1)="(",")","")," ",D84+IF(_xlfn.XLOOKUP(A84,StandardBrain[Name],StandardBrain[Characteristic],,,)="INT",$I$66,$M$19),", "))</f>
        <v/>
      </c>
      <c r="P84" s="137">
        <f>_xlfn.XLOOKUP(A84,StandardBrain[Name],StandardBrain[Cr],,,)*10^(D84)</f>
        <v>0</v>
      </c>
    </row>
    <row r="85" spans="1:16" ht="12" customHeight="1" x14ac:dyDescent="0.35">
      <c r="A85" s="30" t="s">
        <v>117</v>
      </c>
      <c r="B85" s="199"/>
      <c r="C85" s="219"/>
      <c r="D85" s="58"/>
      <c r="E85" s="40"/>
      <c r="G85" s="59" t="str">
        <f>IF(A85="N/A","",D85+_xlfn.XLOOKUP(A85,StandardBrain[Name],StandardBrain[Bandwidth],,,))</f>
        <v/>
      </c>
      <c r="I85" s="59" t="str">
        <f>_xlfn.XLOOKUP(A85,StandardBrain[Name],StandardBrain[Characteristic],,,)</f>
        <v xml:space="preserve"> </v>
      </c>
      <c r="K85" s="44">
        <f>_xlfn.XLOOKUP(A85,StandardBrain[Name],StandardBrain[TL],,,)+D85</f>
        <v>0</v>
      </c>
      <c r="O85" s="12" t="str">
        <f>IF(_xlfn.XLOOKUP(A85,StandardBrain[Name],StandardBrain[Skill],,,)="","",_xlfn.CONCAT(_xlfn.XLOOKUP(A85,StandardBrain[Name],StandardBrain[Skill],,,),IF(RIGHT(_xlfn.XLOOKUP(A85,StandardBrain[Name],StandardBrain[Skill],,,),1)="(",B85,""),IF(RIGHT(_xlfn.XLOOKUP(A85,StandardBrain[Name],StandardBrain[Skill],,,),1)="(",")","")," ",D85+IF(_xlfn.XLOOKUP(A85,StandardBrain[Name],StandardBrain[Characteristic],,,)="INT",$I$66,$M$19),", "))</f>
        <v/>
      </c>
      <c r="P85" s="137">
        <f>_xlfn.XLOOKUP(A85,StandardBrain[Name],StandardBrain[Cr],,,)*10^(D85)</f>
        <v>0</v>
      </c>
    </row>
    <row r="86" spans="1:16" ht="12" customHeight="1" x14ac:dyDescent="0.35">
      <c r="A86" s="30" t="s">
        <v>117</v>
      </c>
      <c r="B86" s="199"/>
      <c r="C86" s="219"/>
      <c r="D86" s="58"/>
      <c r="E86" s="40"/>
      <c r="G86" s="59" t="str">
        <f>IF(A86="N/A","",D86+_xlfn.XLOOKUP(A86,StandardBrain[Name],StandardBrain[Bandwidth],,,))</f>
        <v/>
      </c>
      <c r="I86" s="59" t="str">
        <f>_xlfn.XLOOKUP(A86,StandardBrain[Name],StandardBrain[Characteristic],,,)</f>
        <v xml:space="preserve"> </v>
      </c>
      <c r="K86" s="44">
        <f>_xlfn.XLOOKUP(A86,StandardBrain[Name],StandardBrain[TL],,,)+D86</f>
        <v>0</v>
      </c>
      <c r="O86" s="12" t="str">
        <f>IF(_xlfn.XLOOKUP(A86,StandardBrain[Name],StandardBrain[Skill],,,)="","",_xlfn.CONCAT(_xlfn.XLOOKUP(A86,StandardBrain[Name],StandardBrain[Skill],,,),IF(RIGHT(_xlfn.XLOOKUP(A86,StandardBrain[Name],StandardBrain[Skill],,,),1)="(",B86,""),IF(RIGHT(_xlfn.XLOOKUP(A86,StandardBrain[Name],StandardBrain[Skill],,,),1)="(",")","")," ",D86+IF(_xlfn.XLOOKUP(A86,StandardBrain[Name],StandardBrain[Characteristic],,,)="INT",$I$66,$M$19),", "))</f>
        <v/>
      </c>
      <c r="P86" s="137">
        <f>_xlfn.XLOOKUP(A86,StandardBrain[Name],StandardBrain[Cr],,,)*10^(D86)</f>
        <v>0</v>
      </c>
    </row>
    <row r="87" spans="1:16" ht="12" customHeight="1" x14ac:dyDescent="0.35">
      <c r="A87" s="30" t="s">
        <v>117</v>
      </c>
      <c r="B87" s="199"/>
      <c r="C87" s="219"/>
      <c r="D87" s="58"/>
      <c r="E87" s="40"/>
      <c r="G87" s="59" t="str">
        <f>IF(A87="N/A","",D87+_xlfn.XLOOKUP(A87,StandardBrain[Name],StandardBrain[Bandwidth],,,))</f>
        <v/>
      </c>
      <c r="I87" s="59" t="str">
        <f>_xlfn.XLOOKUP(A87,StandardBrain[Name],StandardBrain[Characteristic],,,)</f>
        <v xml:space="preserve"> </v>
      </c>
      <c r="K87" s="44">
        <f>_xlfn.XLOOKUP(A87,StandardBrain[Name],StandardBrain[TL],,,)+D87</f>
        <v>0</v>
      </c>
      <c r="O87" s="12" t="str">
        <f>IF(_xlfn.XLOOKUP(A87,StandardBrain[Name],StandardBrain[Skill],,,)="","",_xlfn.CONCAT(_xlfn.XLOOKUP(A87,StandardBrain[Name],StandardBrain[Skill],,,),IF(RIGHT(_xlfn.XLOOKUP(A87,StandardBrain[Name],StandardBrain[Skill],,,),1)="(",B87,""),IF(RIGHT(_xlfn.XLOOKUP(A87,StandardBrain[Name],StandardBrain[Skill],,,),1)="(",")","")," ",D87+IF(_xlfn.XLOOKUP(A87,StandardBrain[Name],StandardBrain[Characteristic],,,)="INT",$I$66,$M$19),", "))</f>
        <v/>
      </c>
      <c r="P87" s="137">
        <f>_xlfn.XLOOKUP(A87,StandardBrain[Name],StandardBrain[Cr],,,)*10^(D87)</f>
        <v>0</v>
      </c>
    </row>
    <row r="88" spans="1:16" ht="12" customHeight="1" x14ac:dyDescent="0.35">
      <c r="A88" s="30" t="s">
        <v>117</v>
      </c>
      <c r="B88" s="199"/>
      <c r="C88" s="219"/>
      <c r="D88" s="58"/>
      <c r="E88" s="40"/>
      <c r="G88" s="59" t="str">
        <f>IF(A88="N/A","",D88+_xlfn.XLOOKUP(A88,StandardBrain[Name],StandardBrain[Bandwidth],,,))</f>
        <v/>
      </c>
      <c r="I88" s="59" t="str">
        <f>_xlfn.XLOOKUP(A88,StandardBrain[Name],StandardBrain[Characteristic],,,)</f>
        <v xml:space="preserve"> </v>
      </c>
      <c r="K88" s="44">
        <f>_xlfn.XLOOKUP(A88,StandardBrain[Name],StandardBrain[TL],,,)+D88</f>
        <v>0</v>
      </c>
      <c r="O88" s="12" t="str">
        <f>IF(_xlfn.XLOOKUP(A88,StandardBrain[Name],StandardBrain[Skill],,,)="","",_xlfn.CONCAT(_xlfn.XLOOKUP(A88,StandardBrain[Name],StandardBrain[Skill],,,),IF(RIGHT(_xlfn.XLOOKUP(A88,StandardBrain[Name],StandardBrain[Skill],,,),1)="(",B88,""),IF(RIGHT(_xlfn.XLOOKUP(A88,StandardBrain[Name],StandardBrain[Skill],,,),1)="(",")","")," ",D88+IF(_xlfn.XLOOKUP(A88,StandardBrain[Name],StandardBrain[Characteristic],,,)="INT",$I$66,$M$19),", "))</f>
        <v/>
      </c>
      <c r="P88" s="137">
        <f>_xlfn.XLOOKUP(A88,StandardBrain[Name],StandardBrain[Cr],,,)*10^(D88)</f>
        <v>0</v>
      </c>
    </row>
    <row r="89" spans="1:16" ht="12" customHeight="1" x14ac:dyDescent="0.35">
      <c r="A89" s="30" t="s">
        <v>117</v>
      </c>
      <c r="B89" s="199"/>
      <c r="C89" s="219"/>
      <c r="D89" s="58"/>
      <c r="E89" s="40"/>
      <c r="G89" s="59" t="str">
        <f>IF(A89="N/A","",D89+_xlfn.XLOOKUP(A89,StandardBrain[Name],StandardBrain[Bandwidth],,,))</f>
        <v/>
      </c>
      <c r="I89" s="59" t="str">
        <f>_xlfn.XLOOKUP(A89,StandardBrain[Name],StandardBrain[Characteristic],,,)</f>
        <v xml:space="preserve"> </v>
      </c>
      <c r="K89" s="44">
        <f>_xlfn.XLOOKUP(A89,StandardBrain[Name],StandardBrain[TL],,,)+D89</f>
        <v>0</v>
      </c>
      <c r="O89" s="12" t="str">
        <f>IF(_xlfn.XLOOKUP(A89,StandardBrain[Name],StandardBrain[Skill],,,)="","",_xlfn.CONCAT(_xlfn.XLOOKUP(A89,StandardBrain[Name],StandardBrain[Skill],,,),IF(RIGHT(_xlfn.XLOOKUP(A89,StandardBrain[Name],StandardBrain[Skill],,,),1)="(",B89,""),IF(RIGHT(_xlfn.XLOOKUP(A89,StandardBrain[Name],StandardBrain[Skill],,,),1)="(",")","")," ",D89+IF(_xlfn.XLOOKUP(A89,StandardBrain[Name],StandardBrain[Characteristic],,,)="INT",$I$66,$M$19),", "))</f>
        <v/>
      </c>
      <c r="P89" s="137">
        <f>_xlfn.XLOOKUP(A89,StandardBrain[Name],StandardBrain[Cr],,,)*10^(D89)</f>
        <v>0</v>
      </c>
    </row>
    <row r="90" spans="1:16" ht="12" customHeight="1" thickBot="1" x14ac:dyDescent="0.4">
      <c r="A90" s="30" t="s">
        <v>117</v>
      </c>
      <c r="B90" s="199"/>
      <c r="C90" s="219"/>
      <c r="D90" s="58"/>
      <c r="E90" s="40"/>
      <c r="G90" s="60" t="str">
        <f>IF(A90="N/A","",D90+_xlfn.XLOOKUP(A90,StandardBrain[Name],StandardBrain[Bandwidth],,,))</f>
        <v/>
      </c>
      <c r="I90" s="60" t="str">
        <f>_xlfn.XLOOKUP(A90,StandardBrain[Name],StandardBrain[Characteristic],,,)</f>
        <v xml:space="preserve"> </v>
      </c>
      <c r="K90" s="44">
        <f>_xlfn.XLOOKUP(A90,StandardBrain[Name],StandardBrain[TL],,,)+D90</f>
        <v>0</v>
      </c>
      <c r="O90" s="12" t="str">
        <f>IF(_xlfn.XLOOKUP(A90,StandardBrain[Name],StandardBrain[Skill],,,)="","",_xlfn.CONCAT(_xlfn.XLOOKUP(A90,StandardBrain[Name],StandardBrain[Skill],,,),IF(RIGHT(_xlfn.XLOOKUP(A90,StandardBrain[Name],StandardBrain[Skill],,,),1)="(",B90,""),IF(RIGHT(_xlfn.XLOOKUP(A90,StandardBrain[Name],StandardBrain[Skill],,,),1)="(",")","")," ",D90+IF(_xlfn.XLOOKUP(A90,StandardBrain[Name],StandardBrain[Characteristic],,,)="INT",$I$66,$M$19),", "))</f>
        <v/>
      </c>
      <c r="P90" s="139">
        <f>_xlfn.XLOOKUP(A90,StandardBrain[Name],StandardBrain[Cr],,,)*10^(D90)</f>
        <v>0</v>
      </c>
    </row>
    <row r="91" spans="1:16" ht="12" customHeight="1" thickBot="1" x14ac:dyDescent="0.45">
      <c r="C91" s="1"/>
      <c r="O91" s="149" t="s">
        <v>822</v>
      </c>
      <c r="P91" s="147">
        <f>ROUNDUP(IF(COUNT(L36:L56)&gt;0,3,1)*SUM(P3:P67)+SUM(P69:P90),0)</f>
        <v>517000</v>
      </c>
    </row>
    <row r="92" spans="1:16" ht="12" customHeight="1" thickBot="1" x14ac:dyDescent="0.45">
      <c r="B92" s="110"/>
      <c r="O92" s="149" t="str">
        <f>CONCATENATE("Cost With "&amp;X6*100 &amp; "% Discount")</f>
        <v>Cost With 10% Discount</v>
      </c>
      <c r="P92" s="147">
        <f>P2</f>
        <v>465300</v>
      </c>
    </row>
    <row r="93" spans="1:16" ht="12" customHeight="1" x14ac:dyDescent="0.4">
      <c r="B93" s="111"/>
    </row>
    <row r="94" spans="1:16" ht="12" customHeight="1" x14ac:dyDescent="0.35">
      <c r="A94" s="110"/>
      <c r="B94" s="112"/>
    </row>
  </sheetData>
  <sortState xmlns:xlrd2="http://schemas.microsoft.com/office/spreadsheetml/2017/richdata2" ref="A36:D42">
    <sortCondition ref="A36:A42"/>
  </sortState>
  <dataConsolidate/>
  <mergeCells count="113">
    <mergeCell ref="B86:C86"/>
    <mergeCell ref="B87:C87"/>
    <mergeCell ref="B88:C88"/>
    <mergeCell ref="B89:C89"/>
    <mergeCell ref="B90:C90"/>
    <mergeCell ref="B80:C80"/>
    <mergeCell ref="B81:C81"/>
    <mergeCell ref="B82:C82"/>
    <mergeCell ref="B83:C83"/>
    <mergeCell ref="B84:C84"/>
    <mergeCell ref="B85:C85"/>
    <mergeCell ref="B74:C74"/>
    <mergeCell ref="B75:C75"/>
    <mergeCell ref="B76:C76"/>
    <mergeCell ref="B77:C77"/>
    <mergeCell ref="B78:C78"/>
    <mergeCell ref="B79:C79"/>
    <mergeCell ref="B64:D64"/>
    <mergeCell ref="B65:D65"/>
    <mergeCell ref="B69:D69"/>
    <mergeCell ref="B70:D70"/>
    <mergeCell ref="B71:D71"/>
    <mergeCell ref="B73:C73"/>
    <mergeCell ref="A59:D59"/>
    <mergeCell ref="H59:I59"/>
    <mergeCell ref="A60:D60"/>
    <mergeCell ref="H60:I60"/>
    <mergeCell ref="A61:D61"/>
    <mergeCell ref="H61:I61"/>
    <mergeCell ref="A55:D55"/>
    <mergeCell ref="H55:J55"/>
    <mergeCell ref="A56:D56"/>
    <mergeCell ref="H56:J56"/>
    <mergeCell ref="A57:D57"/>
    <mergeCell ref="H57:J57"/>
    <mergeCell ref="A52:D52"/>
    <mergeCell ref="H52:J52"/>
    <mergeCell ref="A53:D53"/>
    <mergeCell ref="H53:J53"/>
    <mergeCell ref="A54:D54"/>
    <mergeCell ref="H54:J54"/>
    <mergeCell ref="A49:D49"/>
    <mergeCell ref="H49:J49"/>
    <mergeCell ref="A50:D50"/>
    <mergeCell ref="H50:J50"/>
    <mergeCell ref="A51:D51"/>
    <mergeCell ref="H51:J51"/>
    <mergeCell ref="A38:D38"/>
    <mergeCell ref="H38:J38"/>
    <mergeCell ref="A39:D39"/>
    <mergeCell ref="H39:J39"/>
    <mergeCell ref="A46:D46"/>
    <mergeCell ref="H46:J46"/>
    <mergeCell ref="A47:D47"/>
    <mergeCell ref="H47:J47"/>
    <mergeCell ref="A48:D48"/>
    <mergeCell ref="H48:J48"/>
    <mergeCell ref="A43:D43"/>
    <mergeCell ref="H43:J43"/>
    <mergeCell ref="A44:D44"/>
    <mergeCell ref="H44:J44"/>
    <mergeCell ref="A45:D45"/>
    <mergeCell ref="H45:J45"/>
    <mergeCell ref="H33:J33"/>
    <mergeCell ref="A34:D34"/>
    <mergeCell ref="H34:J34"/>
    <mergeCell ref="H35:J35"/>
    <mergeCell ref="A36:D36"/>
    <mergeCell ref="H36:J36"/>
    <mergeCell ref="R20:Z75"/>
    <mergeCell ref="B29:D29"/>
    <mergeCell ref="H29:J29"/>
    <mergeCell ref="A30:D30"/>
    <mergeCell ref="H30:J30"/>
    <mergeCell ref="A31:D31"/>
    <mergeCell ref="H31:J31"/>
    <mergeCell ref="A32:D32"/>
    <mergeCell ref="H32:J32"/>
    <mergeCell ref="A33:D33"/>
    <mergeCell ref="A40:D40"/>
    <mergeCell ref="H40:J40"/>
    <mergeCell ref="A41:D41"/>
    <mergeCell ref="H41:J41"/>
    <mergeCell ref="A42:D42"/>
    <mergeCell ref="H42:J42"/>
    <mergeCell ref="A37:D37"/>
    <mergeCell ref="H37:J37"/>
    <mergeCell ref="G11:H11"/>
    <mergeCell ref="K11:L11"/>
    <mergeCell ref="S11:Z11"/>
    <mergeCell ref="G12:O12"/>
    <mergeCell ref="S12:Z12"/>
    <mergeCell ref="R13:R17"/>
    <mergeCell ref="S13:Z17"/>
    <mergeCell ref="G9:I9"/>
    <mergeCell ref="K9:M9"/>
    <mergeCell ref="S9:Z9"/>
    <mergeCell ref="G10:H10"/>
    <mergeCell ref="K10:M10"/>
    <mergeCell ref="S10:Z10"/>
    <mergeCell ref="G5:I5"/>
    <mergeCell ref="H6:N6"/>
    <mergeCell ref="G7:I7"/>
    <mergeCell ref="S7:Z7"/>
    <mergeCell ref="G8:I8"/>
    <mergeCell ref="K8:M8"/>
    <mergeCell ref="S8:Z8"/>
    <mergeCell ref="B2:D2"/>
    <mergeCell ref="F2:H2"/>
    <mergeCell ref="I2:M2"/>
    <mergeCell ref="G3:J3"/>
    <mergeCell ref="G4:I4"/>
    <mergeCell ref="K4:L4"/>
  </mergeCells>
  <conditionalFormatting sqref="B14">
    <cfRule type="expression" dxfId="5" priority="6">
      <formula>ABS($J$14-6) &gt; 6</formula>
    </cfRule>
  </conditionalFormatting>
  <conditionalFormatting sqref="E2">
    <cfRule type="expression" dxfId="4" priority="4">
      <formula>$E$2&lt;0</formula>
    </cfRule>
  </conditionalFormatting>
  <conditionalFormatting sqref="E15:E17">
    <cfRule type="expression" dxfId="3" priority="1">
      <formula>AND($B$4=0,E15&lt;0)</formula>
    </cfRule>
  </conditionalFormatting>
  <conditionalFormatting sqref="K5 K30:K34 K36:K57 K59:K61 K64:K67 K73:K90">
    <cfRule type="expression" dxfId="2" priority="5">
      <formula>K5&gt;$O$2</formula>
    </cfRule>
  </conditionalFormatting>
  <conditionalFormatting sqref="L57">
    <cfRule type="expression" dxfId="1" priority="2">
      <formula>L57&gt;$O$2</formula>
    </cfRule>
  </conditionalFormatting>
  <conditionalFormatting sqref="L67">
    <cfRule type="expression" dxfId="0" priority="3">
      <formula>L67&lt;0</formula>
    </cfRule>
  </conditionalFormatting>
  <dataValidations count="20">
    <dataValidation type="whole" allowBlank="1" showInputMessage="1" showErrorMessage="1" error="Total Armour cannot exceed Maximum" sqref="B7" xr:uid="{EE5F70FF-93F9-455C-B93F-54768D6A5B8B}">
      <formula1>-1</formula1>
      <formula2>L7-MID(A7,18,1)</formula2>
    </dataValidation>
    <dataValidation type="whole" allowBlank="1" showInputMessage="1" showErrorMessage="1" error="Max DEX = TL+3" sqref="K19:K28" xr:uid="{1776870F-C623-4DC4-9199-BB8C7802D634}">
      <formula1>0</formula1>
      <formula2>J19-D19</formula2>
    </dataValidation>
    <dataValidation type="whole" allowBlank="1" showInputMessage="1" showErrorMessage="1" error="Max STR = Lesser of Size + TL or SIZE X 4" sqref="G19:G28" xr:uid="{2B7467FB-4AC2-4FBE-82DF-BB61D4FE087A}">
      <formula1>0</formula1>
      <formula2>F19-C19</formula2>
    </dataValidation>
    <dataValidation type="whole" allowBlank="1" showInputMessage="1" showErrorMessage="1" sqref="E13:E14" xr:uid="{9179741E-BAB7-483A-86EB-AFA77CF97AED}">
      <formula1>0</formula1>
      <formula2>#REF!/2</formula2>
    </dataValidation>
    <dataValidation type="whole" allowBlank="1" showInputMessage="1" showErrorMessage="1" sqref="C14:D14" xr:uid="{8175A016-7442-416A-9E16-675259AE89CA}">
      <formula1>0</formula1>
      <formula2>D15/2</formula2>
    </dataValidation>
    <dataValidation type="whole" allowBlank="1" showInputMessage="1" showErrorMessage="1" sqref="C13:D13" xr:uid="{3362A3F8-1ADF-46BE-9E7D-E99C57C9FDDE}">
      <formula1>0</formula1>
      <formula2>D5/2</formula2>
    </dataValidation>
    <dataValidation type="whole" allowBlank="1" showInputMessage="1" showErrorMessage="1" sqref="C11:D11" xr:uid="{05A742E0-8EC2-4379-8D53-E37C287F9C7D}">
      <formula1>0</formula1>
      <formula2>D4/2</formula2>
    </dataValidation>
    <dataValidation type="whole" allowBlank="1" showInputMessage="1" showErrorMessage="1" error="Must be whole number between -6 and +12" sqref="B14" xr:uid="{B7D3FAE1-FDF3-4673-A1E7-F029A2F4B4A8}">
      <formula1>-6</formula1>
      <formula2>12</formula2>
    </dataValidation>
    <dataValidation type="list" allowBlank="1" showInputMessage="1" showErrorMessage="1" sqref="B16" xr:uid="{0878E212-11BB-492B-95FD-6CA308E60406}">
      <formula1>"No,1X,2X,3X"</formula1>
    </dataValidation>
    <dataValidation type="list" allowBlank="1" showInputMessage="1" showErrorMessage="1" sqref="B15" xr:uid="{DF188967-4BC1-4A4E-828F-03638E0E5AD1}">
      <formula1>"FALSE,TRUE"</formula1>
    </dataValidation>
    <dataValidation type="list" allowBlank="1" showInputMessage="1" showErrorMessage="1" sqref="D73:D90 B66" xr:uid="{63346C63-238B-463E-95B4-D4646116A919}">
      <formula1>"0,1,2,3"</formula1>
    </dataValidation>
    <dataValidation type="list" allowBlank="1" showInputMessage="1" showErrorMessage="1" sqref="B13" xr:uid="{7C635B76-936F-4968-96D9-1C22F92EB3C8}">
      <formula1>"0,1,2,3,4"</formula1>
    </dataValidation>
    <dataValidation type="list" allowBlank="1" showInputMessage="1" showErrorMessage="1" sqref="B27:B28 B67 B8" xr:uid="{8D2E7BC6-1A1F-4C5A-8EF0-8D6E3623BDFB}">
      <formula1>"TRUE,FALSE"</formula1>
    </dataValidation>
    <dataValidation type="whole" allowBlank="1" showInputMessage="1" showErrorMessage="1" error="Max Manipulator Size = Chassis Size +2_x000a_Min Manipulator Size = 0_x000a_Whole Numbers Only" sqref="B19:B26" xr:uid="{6B0A68F0-96F3-4C4C-96AA-C27DF8AC588C}">
      <formula1>0</formula1>
      <formula2>$B$4+2</formula2>
    </dataValidation>
    <dataValidation type="list" allowBlank="1" showInputMessage="1" showErrorMessage="1" sqref="O2" xr:uid="{FA8EACF1-4FD8-4AD0-B169-17E141B6715E}">
      <formula1>"7,8,9,10,11,12,13,14,15,16,17,18"</formula1>
    </dataValidation>
    <dataValidation type="list" allowBlank="1" showInputMessage="1" showErrorMessage="1" sqref="B4" xr:uid="{783FF836-919D-48F0-A291-5EEE828B1CD9}">
      <formula1>"0,1,2,3,4,5,6,7,8"</formula1>
    </dataValidation>
    <dataValidation type="list" allowBlank="1" showInputMessage="1" showErrorMessage="1" error="Maximum = 3" sqref="B9" xr:uid="{02594B2B-B7AC-47D7-8D27-EF46F4C72620}">
      <formula1>"0,1,2,3"</formula1>
    </dataValidation>
    <dataValidation type="whole" allowBlank="1" showInputMessage="1" showErrorMessage="1" sqref="E11" xr:uid="{71008472-2E12-43E7-B786-105E59D8A67D}">
      <formula1>0</formula1>
      <formula2>J4/2</formula2>
    </dataValidation>
    <dataValidation type="whole" allowBlank="1" showInputMessage="1" showErrorMessage="1" error="Must be whole number. No more than 50% of slots may be used for Resiliency" sqref="B10" xr:uid="{79756FF7-9CF3-4772-8BE0-D4EEF290355B}">
      <formula1>0</formula1>
      <formula2>E4/2</formula2>
    </dataValidation>
    <dataValidation type="whole" allowBlank="1" showInputMessage="1" showErrorMessage="1" error="Must be a negative number no less than a 50% of the base hits" sqref="B11" xr:uid="{AF3461DD-4D98-4815-B4B2-08819E1ACE90}">
      <formula1>-J4/2</formula1>
      <formula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4DF93422-8885-4FF9-8EE4-223F6C263BD4}">
          <x14:formula1>
            <xm:f>Brains!$K$3:$K$16</xm:f>
          </x14:formula1>
          <xm:sqref>B65</xm:sqref>
        </x14:dataValidation>
        <x14:dataValidation type="list" allowBlank="1" showInputMessage="1" showErrorMessage="1" xr:uid="{CE580FA2-21A8-469D-8656-EE7D7A1F72C0}">
          <x14:formula1>
            <xm:f>Packages!$B$23:$B$25</xm:f>
          </x14:formula1>
          <xm:sqref>B71</xm:sqref>
        </x14:dataValidation>
        <x14:dataValidation type="list" allowBlank="1" showInputMessage="1" showErrorMessage="1" xr:uid="{8149586D-498D-4246-B548-ABFE3FE2EEBA}">
          <x14:formula1>
            <xm:f>Packages!$B$3:$B$7</xm:f>
          </x14:formula1>
          <xm:sqref>B69</xm:sqref>
        </x14:dataValidation>
        <x14:dataValidation type="list" allowBlank="1" showInputMessage="1" showErrorMessage="1" xr:uid="{5C1902E6-E6AF-4C97-8C0A-FBDA052268F3}">
          <x14:formula1>
            <xm:f>Brains!$B$3:$B$19</xm:f>
          </x14:formula1>
          <xm:sqref>B64</xm:sqref>
        </x14:dataValidation>
        <x14:dataValidation type="list" allowBlank="1" showInputMessage="1" showErrorMessage="1" xr:uid="{D9E1ABE0-3629-409D-9039-59B2F9E242C1}">
          <x14:formula1>
            <xm:f>Packages!$B$11:$B$19</xm:f>
          </x14:formula1>
          <xm:sqref>B70</xm:sqref>
        </x14:dataValidation>
        <x14:dataValidation type="list" allowBlank="1" showInputMessage="1" showErrorMessage="1" xr:uid="{D7755D01-1066-4BD2-A7C1-77730434E40F}">
          <x14:formula1>
            <xm:f>Chassis!$H$3:$H$13</xm:f>
          </x14:formula1>
          <xm:sqref>B17 B5</xm:sqref>
        </x14:dataValidation>
        <x14:dataValidation type="list" allowBlank="1" showInputMessage="1" showErrorMessage="1" xr:uid="{44476EFB-9FC8-4BB8-AE0F-4873F6C95421}">
          <x14:formula1>
            <xm:f>Packages!$B$29:$B$82</xm:f>
          </x14:formula1>
          <xm:sqref>A73:A90</xm:sqref>
        </x14:dataValidation>
        <x14:dataValidation type="list" allowBlank="1" showInputMessage="1" showErrorMessage="1" xr:uid="{F859F6B7-58B1-40EC-A2C2-F6B262D8FF17}">
          <x14:formula1>
            <xm:f>Options!$C$9:$C$71</xm:f>
          </x14:formula1>
          <xm:sqref>A30:A34</xm:sqref>
        </x14:dataValidation>
        <x14:dataValidation type="list" allowBlank="1" showInputMessage="1" showErrorMessage="1" xr:uid="{A31C8C8D-EB9C-4F0D-8907-5D2006B646F5}">
          <x14:formula1>
            <xm:f>Options!$C$9:$C$256</xm:f>
          </x14:formula1>
          <xm:sqref>A36:A56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Instructions</vt:lpstr>
      <vt:lpstr>Summary</vt:lpstr>
      <vt:lpstr>Blank</vt:lpstr>
      <vt:lpstr>Micro</vt:lpstr>
      <vt:lpstr>Chassis</vt:lpstr>
      <vt:lpstr>Brains</vt:lpstr>
      <vt:lpstr>Options</vt:lpstr>
      <vt:lpstr>Packages</vt:lpstr>
      <vt:lpstr>Notes</vt:lpstr>
      <vt:lpstr>Basic AutoBerth</vt:lpstr>
      <vt:lpstr>Improved AutoBerth</vt:lpstr>
      <vt:lpstr>Enhanced AutoBerth</vt:lpstr>
      <vt:lpstr>Advanced AutoBerth</vt:lpstr>
      <vt:lpstr>Superior AutoBerth</vt:lpstr>
      <vt:lpstr>Basic AutoBerth (LD)</vt:lpstr>
      <vt:lpstr>Improved AutoBerth (LD)</vt:lpstr>
      <vt:lpstr>Enhanced AutoBerth (LD)</vt:lpstr>
      <vt:lpstr>Advanced AutoBerth (LD)</vt:lpstr>
      <vt:lpstr>Superior AutoBerth (LD)</vt:lpstr>
      <vt:lpstr>Basic AutoBerth Cluster</vt:lpstr>
      <vt:lpstr>Improved AutoBerth Cluster</vt:lpstr>
      <vt:lpstr>Enhanced AutoBerth Cluster</vt:lpstr>
      <vt:lpstr>Advanced AutoBerth Cluster</vt:lpstr>
      <vt:lpstr>Superior Auto Berth Cluster</vt:lpstr>
      <vt:lpstr>Basic AutoBerth Cluster (c)</vt:lpstr>
      <vt:lpstr>Improved AutoBerth Cluster (c )</vt:lpstr>
      <vt:lpstr>Enhanced AutoBerth Cluster (c)</vt:lpstr>
      <vt:lpstr>Advanced AutoBerth Cluster (c)</vt:lpstr>
      <vt:lpstr>Superior AutoBerth Cluster (c)</vt:lpstr>
      <vt:lpstr>Basic Emergency AutoBerth</vt:lpstr>
      <vt:lpstr>Improved Emergency AutoBerth</vt:lpstr>
      <vt:lpstr>Enhanced Emergency AutoBerth</vt:lpstr>
      <vt:lpstr>Advanced Emergency AutoBerth</vt:lpstr>
      <vt:lpstr>Superior Emergency AutoBerth</vt:lpstr>
      <vt:lpstr>Basic Emergency AutoBerth (L)</vt:lpstr>
      <vt:lpstr>Improved Emergency AutoBert (L)</vt:lpstr>
      <vt:lpstr>Enhanced Emergency AutoBert (L)</vt:lpstr>
      <vt:lpstr>Advanced Emergency AutoBert (L)</vt:lpstr>
      <vt:lpstr>Superior Emergency AutoBert (L)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Geir Lanesskog</dc:creator>
  <cp:lastModifiedBy>Terry Mixon</cp:lastModifiedBy>
  <dcterms:created xsi:type="dcterms:W3CDTF">2020-12-30T20:59:36Z</dcterms:created>
  <dcterms:modified xsi:type="dcterms:W3CDTF">2025-08-22T01:20:53Z</dcterms:modified>
</cp:coreProperties>
</file>